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90" activeTab="1"/>
  </bookViews>
  <sheets>
    <sheet name="FOB方式" sheetId="1" r:id="rId1"/>
    <sheet name="CPT方式" sheetId="2" r:id="rId2"/>
    <sheet name="CIF方式" sheetId="3" r:id="rId3"/>
    <sheet name="运费表" sheetId="4" r:id="rId4"/>
    <sheet name="常用数据" sheetId="5" r:id="rId5"/>
  </sheets>
  <calcPr calcId="144525"/>
</workbook>
</file>

<file path=xl/calcChain.xml><?xml version="1.0" encoding="utf-8"?>
<calcChain xmlns="http://schemas.openxmlformats.org/spreadsheetml/2006/main">
  <c r="I10" i="4" l="1"/>
  <c r="I9" i="4"/>
  <c r="K28" i="3"/>
  <c r="J28" i="3"/>
  <c r="G28" i="3"/>
  <c r="F28" i="3"/>
  <c r="C28" i="3"/>
  <c r="K27" i="3"/>
  <c r="J27" i="3"/>
  <c r="G27" i="3"/>
  <c r="F27" i="3"/>
  <c r="C27" i="3"/>
  <c r="K26" i="3"/>
  <c r="J26" i="3"/>
  <c r="G26" i="3"/>
  <c r="F26" i="3"/>
  <c r="K25" i="3"/>
  <c r="J25" i="3"/>
  <c r="K24" i="3"/>
  <c r="J24" i="3"/>
  <c r="K23" i="3"/>
  <c r="J23" i="3"/>
  <c r="K22" i="3"/>
  <c r="G22" i="3"/>
  <c r="F22" i="3"/>
  <c r="K21" i="3"/>
  <c r="J21" i="3"/>
  <c r="G21" i="3"/>
  <c r="F21" i="3"/>
  <c r="K20" i="3"/>
  <c r="J20" i="3"/>
  <c r="G20" i="3"/>
  <c r="F20" i="3"/>
  <c r="K19" i="3"/>
  <c r="G19" i="3"/>
  <c r="F19" i="3"/>
  <c r="K18" i="3"/>
  <c r="J18" i="3"/>
  <c r="F18" i="3"/>
  <c r="K17" i="3"/>
  <c r="J17" i="3"/>
  <c r="G17" i="3"/>
  <c r="F17" i="3"/>
  <c r="K16" i="3"/>
  <c r="G16" i="3"/>
  <c r="F16" i="3"/>
  <c r="K15" i="3"/>
  <c r="J15" i="3"/>
  <c r="G15" i="3"/>
  <c r="K14" i="3"/>
  <c r="J14" i="3"/>
  <c r="G14" i="3"/>
  <c r="F14" i="3"/>
  <c r="K13" i="3"/>
  <c r="J13" i="3"/>
  <c r="G13" i="3"/>
  <c r="F13" i="3"/>
  <c r="K12" i="3"/>
  <c r="J12" i="3"/>
  <c r="G12" i="3"/>
  <c r="F12" i="3"/>
  <c r="G11" i="3"/>
  <c r="G10" i="3"/>
  <c r="F10" i="3"/>
  <c r="G9" i="3"/>
  <c r="F9" i="3"/>
  <c r="G8" i="3"/>
  <c r="F8" i="3"/>
  <c r="G7" i="3"/>
  <c r="F7" i="3"/>
  <c r="K26" i="2"/>
  <c r="J26" i="2"/>
  <c r="G26" i="2"/>
  <c r="G14" i="2" s="1"/>
  <c r="F26" i="2"/>
  <c r="K22" i="2"/>
  <c r="K19" i="2"/>
  <c r="F18" i="2"/>
  <c r="K16" i="2"/>
  <c r="G15" i="2"/>
  <c r="G13" i="2"/>
  <c r="G12" i="2"/>
  <c r="G11" i="2"/>
  <c r="G10" i="2"/>
  <c r="F10" i="2"/>
  <c r="K9" i="2"/>
  <c r="K24" i="2" s="1"/>
  <c r="J9" i="2"/>
  <c r="F7" i="2"/>
  <c r="G7" i="2" s="1"/>
  <c r="K28" i="1"/>
  <c r="J28" i="1"/>
  <c r="G28" i="1"/>
  <c r="F28" i="1"/>
  <c r="C28" i="1"/>
  <c r="K27" i="1"/>
  <c r="J27" i="1"/>
  <c r="G27" i="1"/>
  <c r="F27" i="1"/>
  <c r="C27" i="1"/>
  <c r="K26" i="1"/>
  <c r="J26" i="1"/>
  <c r="G26" i="1"/>
  <c r="F26" i="1"/>
  <c r="K25" i="1"/>
  <c r="J25" i="1"/>
  <c r="K24" i="1"/>
  <c r="J24" i="1"/>
  <c r="K23" i="1"/>
  <c r="J23" i="1"/>
  <c r="K22" i="1"/>
  <c r="K21" i="1"/>
  <c r="J21" i="1"/>
  <c r="K20" i="1"/>
  <c r="J20" i="1"/>
  <c r="K19" i="1"/>
  <c r="K18" i="1"/>
  <c r="J18" i="1"/>
  <c r="K17" i="1"/>
  <c r="J17" i="1"/>
  <c r="G17" i="1"/>
  <c r="F17" i="1"/>
  <c r="K16" i="1"/>
  <c r="G16" i="1"/>
  <c r="F16" i="1"/>
  <c r="K15" i="1"/>
  <c r="J15" i="1"/>
  <c r="G15" i="1"/>
  <c r="K14" i="1"/>
  <c r="J14" i="1"/>
  <c r="G14" i="1"/>
  <c r="F14" i="1"/>
  <c r="K13" i="1"/>
  <c r="J13" i="1"/>
  <c r="G13" i="1"/>
  <c r="F13" i="1"/>
  <c r="K12" i="1"/>
  <c r="J12" i="1"/>
  <c r="G12" i="1"/>
  <c r="F12" i="1"/>
  <c r="K11" i="1"/>
  <c r="J11" i="1"/>
  <c r="G11" i="1"/>
  <c r="K10" i="1"/>
  <c r="J10" i="1"/>
  <c r="G10" i="1"/>
  <c r="F10" i="1"/>
  <c r="K9" i="1"/>
  <c r="J9" i="1"/>
  <c r="G9" i="1"/>
  <c r="F9" i="1"/>
  <c r="J8" i="1"/>
  <c r="G8" i="1"/>
  <c r="F8" i="1"/>
  <c r="K7" i="1"/>
  <c r="J7" i="1"/>
  <c r="G7" i="1"/>
  <c r="F7" i="1"/>
  <c r="I21" i="4" l="1"/>
  <c r="F23" i="4"/>
  <c r="J28" i="4" s="1"/>
  <c r="H13" i="4"/>
  <c r="I13" i="4" s="1"/>
  <c r="H14" i="4"/>
  <c r="I14" i="4" s="1"/>
  <c r="I15" i="4"/>
  <c r="H19" i="4"/>
  <c r="I19" i="4" s="1"/>
  <c r="H20" i="4"/>
  <c r="I20" i="4" s="1"/>
  <c r="H12" i="4"/>
  <c r="I12" i="4" s="1"/>
  <c r="J12" i="4" s="1"/>
  <c r="H18" i="4"/>
  <c r="I18" i="4" s="1"/>
  <c r="J18" i="4" s="1"/>
  <c r="K11" i="2"/>
  <c r="K10" i="2" s="1"/>
  <c r="K12" i="2" s="1"/>
  <c r="K13" i="2" s="1"/>
  <c r="K14" i="2" s="1"/>
  <c r="G16" i="2"/>
  <c r="G8" i="2"/>
  <c r="G9" i="2" s="1"/>
  <c r="F8" i="2"/>
  <c r="F9" i="2" s="1"/>
  <c r="J15" i="2"/>
  <c r="J23" i="2"/>
  <c r="J24" i="2"/>
  <c r="J11" i="2"/>
  <c r="J10" i="2" s="1"/>
  <c r="J12" i="2" s="1"/>
  <c r="F12" i="2"/>
  <c r="F13" i="2"/>
  <c r="F14" i="2"/>
  <c r="K15" i="2"/>
  <c r="K23" i="2"/>
  <c r="K21" i="2" s="1"/>
  <c r="J25" i="4" l="1"/>
  <c r="J27" i="4"/>
  <c r="J26" i="4"/>
  <c r="G17" i="2"/>
  <c r="G19" i="2" s="1"/>
  <c r="G27" i="2" s="1"/>
  <c r="G28" i="2" s="1"/>
  <c r="J13" i="2"/>
  <c r="J14" i="2" s="1"/>
  <c r="C27" i="2"/>
  <c r="C28" i="2" s="1"/>
  <c r="K17" i="2"/>
  <c r="F16" i="2"/>
  <c r="F17" i="2" s="1"/>
  <c r="F19" i="2" s="1"/>
  <c r="F27" i="2" s="1"/>
  <c r="F28" i="2" s="1"/>
  <c r="J21" i="2"/>
  <c r="J17" i="2" l="1"/>
  <c r="J18" i="2" s="1"/>
  <c r="K18" i="2"/>
  <c r="K20" i="2" s="1"/>
  <c r="K25" i="2" s="1"/>
  <c r="K27" i="2" s="1"/>
  <c r="K28" i="2" s="1"/>
  <c r="J20" i="2" l="1"/>
  <c r="J25" i="2" s="1"/>
  <c r="J27" i="2" s="1"/>
  <c r="J28" i="2" s="1"/>
</calcChain>
</file>

<file path=xl/comments1.xml><?xml version="1.0" encoding="utf-8"?>
<comments xmlns="http://schemas.openxmlformats.org/spreadsheetml/2006/main">
  <authors>
    <author>yueling feng</author>
    <author>13795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出口商货币兑美元汇率</t>
        </r>
      </text>
    </comment>
    <comment ref="K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进口商货币对美元汇率</t>
        </r>
      </text>
    </comment>
    <comment ref="E13" authorId="1">
      <text>
        <r>
          <rPr>
            <sz val="9"/>
            <rFont val="宋体"/>
            <family val="3"/>
            <charset val="134"/>
          </rPr>
          <t>银行费用是指付款手续费；上边一行是信用证付款时的手续费，下边一行是非信用证付款时的手续费；两行不可同时出现数据。</t>
        </r>
      </text>
    </comment>
    <comment ref="C16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可选110，120，130</t>
        </r>
      </text>
    </comment>
    <comment ref="C17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海运0.0088
空运0.0043</t>
        </r>
      </text>
    </comment>
    <comment ref="C18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使用信用证结算时填此项，不可与下一项同时填写。</t>
        </r>
      </text>
    </comment>
    <comment ref="E18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填写蓝色与淡蓝色部分。</t>
        </r>
      </text>
    </comment>
    <comment ref="C19" authorId="0">
      <text>
        <r>
          <rPr>
            <b/>
            <sz val="9"/>
            <rFont val="宋体"/>
            <family val="3"/>
            <charset val="134"/>
          </rPr>
          <t>zxx:
使用非信用证结算时填此项，不可与上一项同时填写。</t>
        </r>
      </text>
    </comment>
    <comment ref="J19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一般为零，可不填。视具体情况。</t>
        </r>
      </text>
    </comment>
  </commentList>
</comments>
</file>

<file path=xl/comments2.xml><?xml version="1.0" encoding="utf-8"?>
<comments xmlns="http://schemas.openxmlformats.org/spreadsheetml/2006/main">
  <authors>
    <author>yueling feng</author>
    <author>13795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出口商货币兑美元汇率</t>
        </r>
      </text>
    </comment>
    <comment ref="K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进口商货币对美元汇率</t>
        </r>
      </text>
    </comment>
    <comment ref="E13" authorId="1">
      <text>
        <r>
          <rPr>
            <sz val="9"/>
            <rFont val="宋体"/>
            <family val="3"/>
            <charset val="134"/>
          </rPr>
          <t>银行费用是指付款手续费；上边一行是信用证付款时的手续费，下边一行是非信用证付款时的手续费；两行不可同时出现数据。</t>
        </r>
      </text>
    </comment>
    <comment ref="C16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可选110，120，130</t>
        </r>
      </text>
    </comment>
    <comment ref="C17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海运0.0088
空运0.0043</t>
        </r>
      </text>
    </comment>
    <comment ref="C18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使用信用证结算时填此项，不可与下一项同时填写。</t>
        </r>
      </text>
    </comment>
    <comment ref="C19" authorId="0">
      <text>
        <r>
          <rPr>
            <b/>
            <sz val="9"/>
            <rFont val="宋体"/>
            <family val="3"/>
            <charset val="134"/>
          </rPr>
          <t>zxx:
使用非信用证结算时填此项，不可与上一项同时填写。</t>
        </r>
      </text>
    </comment>
    <comment ref="J19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一般为零，可不填。视具体情况。</t>
        </r>
      </text>
    </comment>
  </commentList>
</comments>
</file>

<file path=xl/comments3.xml><?xml version="1.0" encoding="utf-8"?>
<comments xmlns="http://schemas.openxmlformats.org/spreadsheetml/2006/main">
  <authors>
    <author>yueling feng</author>
    <author>13795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出口商货币兑美元汇率</t>
        </r>
      </text>
    </comment>
    <comment ref="K5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进口商货币对美元汇率</t>
        </r>
      </text>
    </comment>
    <comment ref="E13" authorId="1">
      <text>
        <r>
          <rPr>
            <sz val="9"/>
            <rFont val="宋体"/>
            <family val="3"/>
            <charset val="134"/>
          </rPr>
          <t>zxx：
银行费用是指付款手续费；上边一行是信用证付款时的手续费，下边一行是非信用证付款时的手续费；两行不可同时出现数据。</t>
        </r>
      </text>
    </comment>
    <comment ref="C16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可选110，120，130</t>
        </r>
      </text>
    </comment>
    <comment ref="C17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海运0.0088
空运0.0043</t>
        </r>
      </text>
    </comment>
    <comment ref="C18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使用信用证结算时填此项，不可与下一项同时填写。</t>
        </r>
      </text>
    </comment>
    <comment ref="C19" authorId="0">
      <text>
        <r>
          <rPr>
            <b/>
            <sz val="9"/>
            <rFont val="宋体"/>
            <family val="3"/>
            <charset val="134"/>
          </rPr>
          <t>zxx:
使用非信用证结算时填此项，不可与上一项同时填写。</t>
        </r>
      </text>
    </comment>
    <comment ref="J19" authorId="0">
      <text>
        <r>
          <rPr>
            <b/>
            <sz val="9"/>
            <rFont val="宋体"/>
            <family val="3"/>
            <charset val="134"/>
          </rPr>
          <t>zxx:</t>
        </r>
        <r>
          <rPr>
            <sz val="9"/>
            <rFont val="宋体"/>
            <family val="3"/>
            <charset val="134"/>
          </rPr>
          <t xml:space="preserve">
一般为零，可不填。视具体情况。</t>
        </r>
      </text>
    </comment>
  </commentList>
</comments>
</file>

<file path=xl/comments4.xml><?xml version="1.0" encoding="utf-8"?>
<comments xmlns="http://schemas.openxmlformats.org/spreadsheetml/2006/main">
  <authors>
    <author>yueling feng</author>
    <author>13795</author>
  </authors>
  <commentList>
    <comment ref="G8" authorId="0">
      <text>
        <r>
          <rPr>
            <b/>
            <sz val="9"/>
            <rFont val="宋体"/>
            <family val="3"/>
            <charset val="134"/>
          </rPr>
          <t>zxx：
注意不是销售数量</t>
        </r>
      </text>
    </comment>
    <comment ref="H23" authorId="1">
      <text>
        <r>
          <rPr>
            <sz val="9"/>
            <rFont val="宋体"/>
            <family val="3"/>
            <charset val="134"/>
          </rPr>
          <t>只填绿色与浅绿色部分。</t>
        </r>
      </text>
    </comment>
  </commentList>
</comments>
</file>

<file path=xl/sharedStrings.xml><?xml version="1.0" encoding="utf-8"?>
<sst xmlns="http://schemas.openxmlformats.org/spreadsheetml/2006/main" count="279" uniqueCount="123">
  <si>
    <t>FOB/FCA方式进出口预算对比</t>
  </si>
  <si>
    <t>信息栏</t>
  </si>
  <si>
    <t>出口预算</t>
  </si>
  <si>
    <t>进口预算</t>
  </si>
  <si>
    <t>出口信息</t>
  </si>
  <si>
    <t>出口税率</t>
  </si>
  <si>
    <t>汇率</t>
  </si>
  <si>
    <t>消费税率</t>
  </si>
  <si>
    <t>币种</t>
  </si>
  <si>
    <t>本币</t>
  </si>
  <si>
    <t>美元</t>
  </si>
  <si>
    <t>增值税率</t>
  </si>
  <si>
    <t>采购成本</t>
  </si>
  <si>
    <t>成交价</t>
  </si>
  <si>
    <t>退税率</t>
  </si>
  <si>
    <t>出口退税</t>
  </si>
  <si>
    <t>运费</t>
  </si>
  <si>
    <t>商检费率</t>
  </si>
  <si>
    <t>实际采购成本</t>
  </si>
  <si>
    <t>CFR/CPT价格</t>
  </si>
  <si>
    <t>工厂价格本币</t>
  </si>
  <si>
    <t>商检费</t>
  </si>
  <si>
    <t>国外保费</t>
  </si>
  <si>
    <t>进口信息</t>
  </si>
  <si>
    <t>进口税率</t>
  </si>
  <si>
    <t>报关费</t>
  </si>
  <si>
    <t>投保金额</t>
  </si>
  <si>
    <t>出口税</t>
  </si>
  <si>
    <t>CIF/CIP价格</t>
  </si>
  <si>
    <t>银行费用</t>
  </si>
  <si>
    <t>进口关税</t>
  </si>
  <si>
    <t>完税成本</t>
  </si>
  <si>
    <t>市场价格本币</t>
  </si>
  <si>
    <t>其他</t>
  </si>
  <si>
    <t>共用信息</t>
  </si>
  <si>
    <t>投保加成</t>
  </si>
  <si>
    <t>国内费用</t>
  </si>
  <si>
    <t>保险费率</t>
  </si>
  <si>
    <t>出口总成本</t>
  </si>
  <si>
    <t>消费税</t>
  </si>
  <si>
    <t>L/C手续费率</t>
  </si>
  <si>
    <t>提示！</t>
  </si>
  <si>
    <t>增值税</t>
  </si>
  <si>
    <t>其他付款费率</t>
  </si>
  <si>
    <t>交易数量</t>
  </si>
  <si>
    <t>成交单价美元</t>
  </si>
  <si>
    <t>信用证开证费</t>
  </si>
  <si>
    <t>信用证付款费用</t>
  </si>
  <si>
    <t>其他付款手续费</t>
  </si>
  <si>
    <t>总成本</t>
  </si>
  <si>
    <t>出口商预期盈亏率</t>
  </si>
  <si>
    <t>报价</t>
  </si>
  <si>
    <t>市场销货收入</t>
  </si>
  <si>
    <t>出口商参考报价总</t>
  </si>
  <si>
    <t>预期盈亏额</t>
  </si>
  <si>
    <t>出口商参考报价单</t>
  </si>
  <si>
    <t>预期盈亏率</t>
  </si>
  <si>
    <t>CPT/CFR方式进出口预算对比表</t>
  </si>
  <si>
    <t>收购价</t>
  </si>
  <si>
    <t>CIF/CIP成交价</t>
  </si>
  <si>
    <t>成本fob</t>
  </si>
  <si>
    <t>出口运费</t>
  </si>
  <si>
    <t>cfr/cpt成本</t>
  </si>
  <si>
    <t>信用证付款费</t>
  </si>
  <si>
    <t>CIF/CIP方式进出口预算对比表</t>
  </si>
  <si>
    <t>出口总成本fob</t>
  </si>
  <si>
    <t>出口保费</t>
  </si>
  <si>
    <t>cif/cip成本</t>
  </si>
  <si>
    <t>运费表</t>
  </si>
  <si>
    <t>结果栏（美元）</t>
  </si>
  <si>
    <t>包装数量</t>
  </si>
  <si>
    <t>单包装毛重</t>
  </si>
  <si>
    <t>总毛重</t>
  </si>
  <si>
    <t>吨</t>
  </si>
  <si>
    <t>单包装体积</t>
  </si>
  <si>
    <t>总体积</t>
  </si>
  <si>
    <t>立方米</t>
  </si>
  <si>
    <t>单价</t>
  </si>
  <si>
    <t>个数</t>
  </si>
  <si>
    <t>总价格</t>
  </si>
  <si>
    <t>最终运费</t>
  </si>
  <si>
    <t>普柜价格</t>
  </si>
  <si>
    <t>20普</t>
  </si>
  <si>
    <t>40普</t>
  </si>
  <si>
    <t>40普高</t>
  </si>
  <si>
    <t>拼箱体积</t>
  </si>
  <si>
    <t>拼箱重量</t>
  </si>
  <si>
    <t>冻柜价格</t>
  </si>
  <si>
    <t>20冻</t>
  </si>
  <si>
    <t>40冻</t>
  </si>
  <si>
    <t>40冻高</t>
  </si>
  <si>
    <t>空运重量</t>
  </si>
  <si>
    <t>千克</t>
  </si>
  <si>
    <t>请看提示！</t>
  </si>
  <si>
    <t>空运价格</t>
  </si>
  <si>
    <t>最小空运费</t>
  </si>
  <si>
    <t>总空运费</t>
  </si>
  <si>
    <t>小于45KG</t>
  </si>
  <si>
    <t>45-100KG</t>
  </si>
  <si>
    <t>100-300KG</t>
  </si>
  <si>
    <t>300-  KG</t>
  </si>
  <si>
    <t>国家</t>
  </si>
  <si>
    <t>对美元汇率</t>
  </si>
  <si>
    <t>原/普惠制证书</t>
  </si>
  <si>
    <t>澳大利亚</t>
  </si>
  <si>
    <t>巴西</t>
  </si>
  <si>
    <t>古巴</t>
  </si>
  <si>
    <t>德国</t>
  </si>
  <si>
    <t>英国</t>
  </si>
  <si>
    <t>日本</t>
  </si>
  <si>
    <t>中国</t>
  </si>
  <si>
    <t>俄罗斯</t>
  </si>
  <si>
    <t>美国</t>
  </si>
  <si>
    <t>南非</t>
  </si>
  <si>
    <t>顺序</t>
  </si>
  <si>
    <t>进/出口</t>
  </si>
  <si>
    <t>贸易方式</t>
  </si>
  <si>
    <t>付款方式</t>
  </si>
  <si>
    <t>交易物品</t>
  </si>
  <si>
    <t>物品编号</t>
  </si>
  <si>
    <t>H.S编码</t>
  </si>
  <si>
    <t>进口税</t>
  </si>
  <si>
    <t>退税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</si>
</sst>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8" formatCode="0.00_ "/>
    <numFmt numFmtId="179" formatCode="0.00_);[Red]\(0.00\)"/>
  </numFmts>
  <fonts count="10">
    <font>
      <sz val="11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22"/>
      <color rgb="FF000000"/>
      <name val="等线"/>
      <charset val="134"/>
    </font>
    <font>
      <sz val="26"/>
      <color rgb="FF000000"/>
      <name val="华文行楷"/>
      <family val="3"/>
      <charset val="134"/>
    </font>
    <font>
      <b/>
      <i/>
      <sz val="48"/>
      <color rgb="FF000000"/>
      <name val="楷体"/>
      <family val="3"/>
      <charset val="134"/>
    </font>
    <font>
      <sz val="11"/>
      <color rgb="FF000000"/>
      <name val="楷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D86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5E0B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NumberFormat="1" applyFont="1" applyBorder="1">
      <alignment vertical="center"/>
    </xf>
    <xf numFmtId="0" fontId="2" fillId="4" borderId="2" xfId="0" applyNumberFormat="1" applyFont="1" applyFill="1" applyBorder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2" fillId="5" borderId="2" xfId="0" applyNumberFormat="1" applyFont="1" applyFill="1" applyBorder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6" borderId="2" xfId="0" applyNumberFormat="1" applyFont="1" applyFill="1" applyBorder="1">
      <alignment vertical="center"/>
    </xf>
    <xf numFmtId="0" fontId="2" fillId="7" borderId="2" xfId="0" applyNumberFormat="1" applyFont="1" applyFill="1" applyBorder="1">
      <alignment vertical="center"/>
    </xf>
    <xf numFmtId="0" fontId="2" fillId="8" borderId="2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10" fontId="2" fillId="9" borderId="2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10" borderId="2" xfId="0" applyFont="1" applyFill="1" applyBorder="1">
      <alignment vertical="center"/>
    </xf>
    <xf numFmtId="10" fontId="2" fillId="10" borderId="2" xfId="0" applyNumberFormat="1" applyFont="1" applyFill="1" applyBorder="1">
      <alignment vertical="center"/>
    </xf>
    <xf numFmtId="0" fontId="2" fillId="0" borderId="2" xfId="0" applyNumberFormat="1" applyFont="1" applyFill="1" applyBorder="1">
      <alignment vertical="center"/>
    </xf>
    <xf numFmtId="179" fontId="0" fillId="0" borderId="2" xfId="0" applyNumberFormat="1" applyFont="1" applyFill="1" applyBorder="1">
      <alignment vertical="center"/>
    </xf>
    <xf numFmtId="179" fontId="2" fillId="0" borderId="2" xfId="0" applyNumberFormat="1" applyFont="1" applyBorder="1">
      <alignment vertical="center"/>
    </xf>
    <xf numFmtId="9" fontId="2" fillId="10" borderId="2" xfId="0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179" fontId="2" fillId="10" borderId="2" xfId="0" applyNumberFormat="1" applyFont="1" applyFill="1" applyBorder="1">
      <alignment vertical="center"/>
    </xf>
    <xf numFmtId="0" fontId="2" fillId="9" borderId="2" xfId="0" applyFont="1" applyFill="1" applyBorder="1">
      <alignment vertical="center"/>
    </xf>
    <xf numFmtId="10" fontId="2" fillId="0" borderId="2" xfId="0" applyNumberFormat="1" applyFont="1" applyBorder="1">
      <alignment vertical="center"/>
    </xf>
    <xf numFmtId="0" fontId="2" fillId="10" borderId="2" xfId="0" applyNumberFormat="1" applyFont="1" applyFill="1" applyBorder="1">
      <alignment vertical="center"/>
    </xf>
    <xf numFmtId="178" fontId="2" fillId="11" borderId="2" xfId="0" applyNumberFormat="1" applyFont="1" applyFill="1" applyBorder="1">
      <alignment vertical="center"/>
    </xf>
    <xf numFmtId="0" fontId="2" fillId="0" borderId="0" xfId="0" applyNumberFormat="1" applyFont="1" applyFill="1">
      <alignment vertical="center"/>
    </xf>
    <xf numFmtId="0" fontId="0" fillId="0" borderId="2" xfId="0" applyFont="1" applyFill="1" applyBorder="1">
      <alignment vertical="center"/>
    </xf>
    <xf numFmtId="0" fontId="2" fillId="0" borderId="0" xfId="0" applyNumberFormat="1" applyFont="1" applyBorder="1">
      <alignment vertical="center"/>
    </xf>
    <xf numFmtId="0" fontId="2" fillId="2" borderId="2" xfId="0" applyNumberFormat="1" applyFont="1" applyFill="1" applyBorder="1">
      <alignment vertical="center"/>
    </xf>
    <xf numFmtId="178" fontId="2" fillId="0" borderId="2" xfId="0" applyNumberFormat="1" applyFont="1" applyBorder="1">
      <alignment vertical="center"/>
    </xf>
    <xf numFmtId="178" fontId="2" fillId="10" borderId="2" xfId="0" applyNumberFormat="1" applyFont="1" applyFill="1" applyBorder="1">
      <alignment vertical="center"/>
    </xf>
    <xf numFmtId="178" fontId="2" fillId="0" borderId="2" xfId="0" applyNumberFormat="1" applyFont="1" applyFill="1" applyBorder="1">
      <alignment vertical="center"/>
    </xf>
    <xf numFmtId="178" fontId="0" fillId="0" borderId="2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left" vertical="center"/>
    </xf>
    <xf numFmtId="178" fontId="5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left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right" vertical="center"/>
    </xf>
    <xf numFmtId="0" fontId="2" fillId="7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NumberFormat="1" applyFont="1" applyFill="1" applyBorder="1">
      <alignment vertical="center"/>
    </xf>
    <xf numFmtId="0" fontId="1" fillId="2" borderId="2" xfId="0" applyNumberFormat="1" applyFont="1" applyFill="1" applyBorder="1">
      <alignment vertical="center"/>
    </xf>
    <xf numFmtId="0" fontId="1" fillId="3" borderId="2" xfId="1" applyNumberFormat="1" applyFont="1" applyFill="1" applyBorder="1" applyAlignment="1" applyProtection="1">
      <alignment vertical="center"/>
    </xf>
    <xf numFmtId="0" fontId="1" fillId="2" borderId="2" xfId="1" applyNumberFormat="1" applyFont="1" applyFill="1" applyBorder="1" applyAlignment="1" applyProtection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workbookViewId="0">
      <selection activeCell="E18" sqref="E18:G25"/>
    </sheetView>
  </sheetViews>
  <sheetFormatPr defaultColWidth="9" defaultRowHeight="13.5"/>
  <cols>
    <col min="1" max="1" width="5.875" customWidth="1"/>
    <col min="2" max="2" width="15.625" customWidth="1"/>
    <col min="3" max="3" width="15" customWidth="1"/>
    <col min="4" max="4" width="4.25" customWidth="1"/>
    <col min="5" max="5" width="13.75" customWidth="1"/>
    <col min="6" max="7" width="20.625" customWidth="1"/>
    <col min="8" max="8" width="4.125" customWidth="1"/>
    <col min="9" max="9" width="16.875" customWidth="1"/>
    <col min="10" max="11" width="20.625" customWidth="1"/>
  </cols>
  <sheetData>
    <row r="1" spans="1:1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5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5"/>
    </row>
    <row r="3" spans="1:12">
      <c r="A3" s="38" t="s">
        <v>1</v>
      </c>
      <c r="B3" s="38"/>
      <c r="C3" s="38"/>
      <c r="D3" s="38" t="s">
        <v>2</v>
      </c>
      <c r="E3" s="38"/>
      <c r="F3" s="38"/>
      <c r="G3" s="38"/>
      <c r="H3" s="38" t="s">
        <v>3</v>
      </c>
      <c r="I3" s="38"/>
      <c r="J3" s="38"/>
      <c r="K3" s="38"/>
    </row>
    <row r="4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>
      <c r="A5" s="36" t="s">
        <v>4</v>
      </c>
      <c r="B5" s="30" t="s">
        <v>5</v>
      </c>
      <c r="C5" s="13">
        <v>0</v>
      </c>
      <c r="D5" s="14"/>
      <c r="E5" s="14"/>
      <c r="F5" s="14" t="s">
        <v>6</v>
      </c>
      <c r="G5" s="15">
        <v>1</v>
      </c>
      <c r="H5" s="14"/>
      <c r="I5" s="14" t="s">
        <v>3</v>
      </c>
      <c r="J5" s="14" t="s">
        <v>6</v>
      </c>
      <c r="K5" s="25"/>
    </row>
    <row r="6" spans="1:12">
      <c r="A6" s="36"/>
      <c r="B6" s="30" t="s">
        <v>7</v>
      </c>
      <c r="C6" s="16">
        <v>0.36</v>
      </c>
      <c r="D6" s="14"/>
      <c r="E6" s="14" t="s">
        <v>8</v>
      </c>
      <c r="F6" s="14" t="s">
        <v>9</v>
      </c>
      <c r="G6" s="14" t="s">
        <v>10</v>
      </c>
      <c r="H6" s="14"/>
      <c r="I6" s="14" t="s">
        <v>8</v>
      </c>
      <c r="J6" s="14" t="s">
        <v>9</v>
      </c>
      <c r="K6" s="14" t="s">
        <v>10</v>
      </c>
    </row>
    <row r="7" spans="1:12">
      <c r="A7" s="36"/>
      <c r="B7" s="30" t="s">
        <v>11</v>
      </c>
      <c r="C7" s="13">
        <v>0.17</v>
      </c>
      <c r="D7" s="38">
        <v>1</v>
      </c>
      <c r="E7" s="31" t="s">
        <v>12</v>
      </c>
      <c r="F7" s="31">
        <f>C10*C20</f>
        <v>963000</v>
      </c>
      <c r="G7" s="31">
        <f>F7*G5</f>
        <v>963000</v>
      </c>
      <c r="H7" s="11">
        <v>1</v>
      </c>
      <c r="I7" s="31" t="s">
        <v>13</v>
      </c>
      <c r="J7" s="31" t="e">
        <f>K7/K5</f>
        <v>#DIV/0!</v>
      </c>
      <c r="K7" s="31">
        <f>C20*C21</f>
        <v>1380000</v>
      </c>
    </row>
    <row r="8" spans="1:12">
      <c r="A8" s="36"/>
      <c r="B8" s="30" t="s">
        <v>14</v>
      </c>
      <c r="C8" s="16">
        <v>0</v>
      </c>
      <c r="D8" s="38"/>
      <c r="E8" s="31" t="s">
        <v>15</v>
      </c>
      <c r="F8" s="31">
        <f>(F7*C8)/(1+C7)</f>
        <v>0</v>
      </c>
      <c r="G8" s="31">
        <f>(G7*C8)/(1+C7)</f>
        <v>0</v>
      </c>
      <c r="H8" s="11">
        <v>2</v>
      </c>
      <c r="I8" s="31" t="s">
        <v>16</v>
      </c>
      <c r="J8" s="31" t="e">
        <f>K8/K5</f>
        <v>#DIV/0!</v>
      </c>
      <c r="K8" s="32"/>
    </row>
    <row r="9" spans="1:12">
      <c r="A9" s="36"/>
      <c r="B9" s="30" t="s">
        <v>17</v>
      </c>
      <c r="C9" s="13">
        <v>2.5000000000000001E-3</v>
      </c>
      <c r="D9" s="38"/>
      <c r="E9" s="31" t="s">
        <v>18</v>
      </c>
      <c r="F9" s="31">
        <f>F7-F8</f>
        <v>963000</v>
      </c>
      <c r="G9" s="31">
        <f>G7-G8</f>
        <v>963000</v>
      </c>
      <c r="H9" s="11">
        <v>3</v>
      </c>
      <c r="I9" s="31" t="s">
        <v>19</v>
      </c>
      <c r="J9" s="31" t="e">
        <f>J7+J8</f>
        <v>#DIV/0!</v>
      </c>
      <c r="K9" s="31">
        <f>K7+K8</f>
        <v>1380000</v>
      </c>
    </row>
    <row r="10" spans="1:12">
      <c r="A10" s="36"/>
      <c r="B10" s="30" t="s">
        <v>20</v>
      </c>
      <c r="C10" s="15">
        <v>160.5</v>
      </c>
      <c r="D10" s="38">
        <v>2</v>
      </c>
      <c r="E10" s="31" t="s">
        <v>21</v>
      </c>
      <c r="F10" s="31">
        <f>F26*C9</f>
        <v>3450</v>
      </c>
      <c r="G10" s="31">
        <f>G26*C9</f>
        <v>3450</v>
      </c>
      <c r="H10" s="38">
        <v>4</v>
      </c>
      <c r="I10" s="31" t="s">
        <v>22</v>
      </c>
      <c r="J10" s="31" t="e">
        <f>J11*C17</f>
        <v>#DIV/0!</v>
      </c>
      <c r="K10" s="31">
        <f>K11*C17</f>
        <v>15969.8956057295</v>
      </c>
    </row>
    <row r="11" spans="1:12" ht="14.25" customHeight="1">
      <c r="A11" s="37" t="s">
        <v>23</v>
      </c>
      <c r="B11" s="21" t="s">
        <v>24</v>
      </c>
      <c r="C11" s="13">
        <v>0.25</v>
      </c>
      <c r="D11" s="38"/>
      <c r="E11" s="31" t="s">
        <v>25</v>
      </c>
      <c r="F11" s="32">
        <v>14</v>
      </c>
      <c r="G11" s="31">
        <f>F11*G5</f>
        <v>14</v>
      </c>
      <c r="H11" s="38"/>
      <c r="I11" s="31" t="s">
        <v>26</v>
      </c>
      <c r="J11" s="31" t="e">
        <f>J9*C16/(1-C16*C17)</f>
        <v>#DIV/0!</v>
      </c>
      <c r="K11" s="31">
        <f>K9*C16/(1-C16*C17)</f>
        <v>1814760.86428745</v>
      </c>
    </row>
    <row r="12" spans="1:12">
      <c r="A12" s="37"/>
      <c r="B12" s="21" t="s">
        <v>7</v>
      </c>
      <c r="C12" s="16">
        <v>0.36</v>
      </c>
      <c r="D12" s="38"/>
      <c r="E12" s="31" t="s">
        <v>27</v>
      </c>
      <c r="F12" s="31">
        <f>F26*C5/(1+C5)</f>
        <v>0</v>
      </c>
      <c r="G12" s="31">
        <f>G26*C5/(1+C5)</f>
        <v>0</v>
      </c>
      <c r="H12" s="11">
        <v>5</v>
      </c>
      <c r="I12" s="31" t="s">
        <v>28</v>
      </c>
      <c r="J12" s="31" t="e">
        <f>J9+J10</f>
        <v>#DIV/0!</v>
      </c>
      <c r="K12" s="31">
        <f>K9+K10</f>
        <v>1395969.8956057299</v>
      </c>
    </row>
    <row r="13" spans="1:12">
      <c r="A13" s="37"/>
      <c r="B13" s="21" t="s">
        <v>11</v>
      </c>
      <c r="C13" s="13">
        <v>0.17</v>
      </c>
      <c r="D13" s="38"/>
      <c r="E13" s="39" t="s">
        <v>29</v>
      </c>
      <c r="F13" s="31">
        <f>F26*C18</f>
        <v>1794</v>
      </c>
      <c r="G13" s="31">
        <f>G26*C18</f>
        <v>1794</v>
      </c>
      <c r="H13" s="11">
        <v>6</v>
      </c>
      <c r="I13" s="31" t="s">
        <v>30</v>
      </c>
      <c r="J13" s="31" t="e">
        <f>J12*C11</f>
        <v>#DIV/0!</v>
      </c>
      <c r="K13" s="31">
        <f>K12*C11</f>
        <v>348992.47390143201</v>
      </c>
    </row>
    <row r="14" spans="1:12">
      <c r="A14" s="37"/>
      <c r="B14" s="21" t="s">
        <v>17</v>
      </c>
      <c r="C14" s="16">
        <v>2.5000000000000001E-3</v>
      </c>
      <c r="D14" s="38"/>
      <c r="E14" s="39"/>
      <c r="F14" s="31">
        <f>F26*C19</f>
        <v>0</v>
      </c>
      <c r="G14" s="31">
        <f>G26*C19</f>
        <v>0</v>
      </c>
      <c r="H14" s="11">
        <v>7</v>
      </c>
      <c r="I14" s="31" t="s">
        <v>31</v>
      </c>
      <c r="J14" s="31" t="e">
        <f>J12+J13</f>
        <v>#DIV/0!</v>
      </c>
      <c r="K14" s="31">
        <f>K12+K13</f>
        <v>1744962.36950716</v>
      </c>
    </row>
    <row r="15" spans="1:12">
      <c r="A15" s="37"/>
      <c r="B15" s="21" t="s">
        <v>32</v>
      </c>
      <c r="C15" s="23">
        <v>1630.97</v>
      </c>
      <c r="D15" s="38"/>
      <c r="E15" s="31" t="s">
        <v>33</v>
      </c>
      <c r="F15" s="32">
        <v>7</v>
      </c>
      <c r="G15" s="31">
        <f>F15*G5</f>
        <v>7</v>
      </c>
      <c r="H15" s="38">
        <v>8</v>
      </c>
      <c r="I15" s="34" t="s">
        <v>21</v>
      </c>
      <c r="J15" s="31" t="e">
        <f>J7*C14</f>
        <v>#DIV/0!</v>
      </c>
      <c r="K15" s="31">
        <f>K7*C14</f>
        <v>3450</v>
      </c>
    </row>
    <row r="16" spans="1:12">
      <c r="A16" s="36" t="s">
        <v>34</v>
      </c>
      <c r="B16" s="12" t="s">
        <v>35</v>
      </c>
      <c r="C16" s="20">
        <v>1.3</v>
      </c>
      <c r="D16" s="38"/>
      <c r="E16" s="31" t="s">
        <v>36</v>
      </c>
      <c r="F16" s="31">
        <f>F15+F14+F13+F12+F11+F10</f>
        <v>5265</v>
      </c>
      <c r="G16" s="31">
        <f>G15+G14+G13+G12+G11+G10</f>
        <v>5265</v>
      </c>
      <c r="H16" s="38"/>
      <c r="I16" s="34" t="s">
        <v>25</v>
      </c>
      <c r="J16" s="32"/>
      <c r="K16" s="31">
        <f>J16*K5</f>
        <v>0</v>
      </c>
    </row>
    <row r="17" spans="1:11">
      <c r="A17" s="36"/>
      <c r="B17" s="12" t="s">
        <v>37</v>
      </c>
      <c r="C17" s="23">
        <v>8.8000000000000005E-3</v>
      </c>
      <c r="D17" s="11">
        <v>3</v>
      </c>
      <c r="E17" s="31" t="s">
        <v>38</v>
      </c>
      <c r="F17" s="31">
        <f>F9+F16</f>
        <v>968265</v>
      </c>
      <c r="G17" s="31">
        <f>G9+G16</f>
        <v>968265</v>
      </c>
      <c r="H17" s="38"/>
      <c r="I17" s="34" t="s">
        <v>39</v>
      </c>
      <c r="J17" s="31" t="e">
        <f>J14*C12/(1-C12)</f>
        <v>#DIV/0!</v>
      </c>
      <c r="K17" s="31">
        <f>K14*C12/(1-C12)</f>
        <v>981541.33284777903</v>
      </c>
    </row>
    <row r="18" spans="1:11">
      <c r="A18" s="36"/>
      <c r="B18" s="12" t="s">
        <v>40</v>
      </c>
      <c r="C18" s="16">
        <v>1.2999999999999999E-3</v>
      </c>
      <c r="D18" s="14"/>
      <c r="E18" s="40" t="s">
        <v>41</v>
      </c>
      <c r="F18" s="41"/>
      <c r="G18" s="41"/>
      <c r="H18" s="38"/>
      <c r="I18" s="34" t="s">
        <v>42</v>
      </c>
      <c r="J18" s="31" t="e">
        <f>(J14+J17)*C13</f>
        <v>#DIV/0!</v>
      </c>
      <c r="K18" s="31">
        <f>(K14+K17)*C13</f>
        <v>463505.62940034003</v>
      </c>
    </row>
    <row r="19" spans="1:11">
      <c r="A19" s="36"/>
      <c r="B19" s="12" t="s">
        <v>43</v>
      </c>
      <c r="C19" s="13">
        <v>0</v>
      </c>
      <c r="D19" s="14"/>
      <c r="E19" s="41"/>
      <c r="F19" s="41"/>
      <c r="G19" s="41"/>
      <c r="H19" s="38"/>
      <c r="I19" s="34" t="s">
        <v>33</v>
      </c>
      <c r="J19" s="26">
        <v>0</v>
      </c>
      <c r="K19" s="31">
        <f>J19*K5</f>
        <v>0</v>
      </c>
    </row>
    <row r="20" spans="1:11">
      <c r="A20" s="36"/>
      <c r="B20" s="12" t="s">
        <v>44</v>
      </c>
      <c r="C20" s="15">
        <v>6000</v>
      </c>
      <c r="D20" s="14"/>
      <c r="E20" s="41"/>
      <c r="F20" s="41"/>
      <c r="G20" s="41"/>
      <c r="H20" s="38"/>
      <c r="I20" s="34" t="s">
        <v>36</v>
      </c>
      <c r="J20" s="31" t="e">
        <f>J15+J16+J17+J18+J19</f>
        <v>#DIV/0!</v>
      </c>
      <c r="K20" s="31">
        <f>K15+K16+K17+K18+K19</f>
        <v>1448496.96224812</v>
      </c>
    </row>
    <row r="21" spans="1:11">
      <c r="A21" s="36"/>
      <c r="B21" s="12" t="s">
        <v>45</v>
      </c>
      <c r="C21" s="23">
        <v>230</v>
      </c>
      <c r="D21" s="14"/>
      <c r="E21" s="41"/>
      <c r="F21" s="41"/>
      <c r="G21" s="41"/>
      <c r="H21" s="38">
        <v>9</v>
      </c>
      <c r="I21" s="34" t="s">
        <v>29</v>
      </c>
      <c r="J21" s="31" t="e">
        <f>J22+J23+J24</f>
        <v>#DIV/0!</v>
      </c>
      <c r="K21" s="31">
        <f>K22+K23+K24</f>
        <v>1794</v>
      </c>
    </row>
    <row r="22" spans="1:11">
      <c r="A22" s="14"/>
      <c r="B22" s="14"/>
      <c r="C22" s="14"/>
      <c r="D22" s="14"/>
      <c r="E22" s="41"/>
      <c r="F22" s="41"/>
      <c r="G22" s="41"/>
      <c r="H22" s="38"/>
      <c r="I22" s="34" t="s">
        <v>46</v>
      </c>
      <c r="J22" s="32"/>
      <c r="K22" s="31">
        <f>J22*K5</f>
        <v>0</v>
      </c>
    </row>
    <row r="23" spans="1:11">
      <c r="A23" s="14"/>
      <c r="B23" s="14"/>
      <c r="C23" s="14"/>
      <c r="D23" s="14"/>
      <c r="E23" s="41"/>
      <c r="F23" s="41"/>
      <c r="G23" s="41"/>
      <c r="H23" s="38"/>
      <c r="I23" s="34" t="s">
        <v>47</v>
      </c>
      <c r="J23" s="31" t="e">
        <f>J7*C18</f>
        <v>#DIV/0!</v>
      </c>
      <c r="K23" s="31">
        <f>K7*C18</f>
        <v>1794</v>
      </c>
    </row>
    <row r="24" spans="1:11">
      <c r="A24" s="14"/>
      <c r="B24" s="14"/>
      <c r="C24" s="14"/>
      <c r="D24" s="14"/>
      <c r="E24" s="41"/>
      <c r="F24" s="41"/>
      <c r="G24" s="41"/>
      <c r="H24" s="38"/>
      <c r="I24" s="34" t="s">
        <v>48</v>
      </c>
      <c r="J24" s="31" t="e">
        <f>J7*C19</f>
        <v>#DIV/0!</v>
      </c>
      <c r="K24" s="31">
        <f>K7*C19</f>
        <v>0</v>
      </c>
    </row>
    <row r="25" spans="1:11">
      <c r="A25" s="14"/>
      <c r="B25" s="14"/>
      <c r="C25" s="14"/>
      <c r="D25" s="14"/>
      <c r="E25" s="41"/>
      <c r="F25" s="41"/>
      <c r="G25" s="41"/>
      <c r="H25" s="11">
        <v>10</v>
      </c>
      <c r="I25" s="34" t="s">
        <v>49</v>
      </c>
      <c r="J25" s="31" t="e">
        <f>J14+J20+J21</f>
        <v>#DIV/0!</v>
      </c>
      <c r="K25" s="31">
        <f>K14+K20+K21</f>
        <v>3195253.33175528</v>
      </c>
    </row>
    <row r="26" spans="1:11">
      <c r="A26" s="14"/>
      <c r="B26" s="14" t="s">
        <v>50</v>
      </c>
      <c r="C26" s="16">
        <v>0.2</v>
      </c>
      <c r="D26" s="38">
        <v>4</v>
      </c>
      <c r="E26" s="31" t="s">
        <v>51</v>
      </c>
      <c r="F26" s="33">
        <f>C20*C21/G5</f>
        <v>1380000</v>
      </c>
      <c r="G26" s="33">
        <f>C20*C21</f>
        <v>1380000</v>
      </c>
      <c r="H26" s="38">
        <v>11</v>
      </c>
      <c r="I26" s="34" t="s">
        <v>52</v>
      </c>
      <c r="J26" s="33">
        <f>C15*C20</f>
        <v>9785820</v>
      </c>
      <c r="K26" s="33">
        <f>C15*C20*K5</f>
        <v>0</v>
      </c>
    </row>
    <row r="27" spans="1:11">
      <c r="A27" s="14"/>
      <c r="B27" s="14" t="s">
        <v>53</v>
      </c>
      <c r="C27" s="14">
        <f>IF(C18,((F9+F11+F15)*(1+C26)/(1-(1+C26)*(C9+C18)))*G5,((F9+F11+F15)*(1+C26)/(1-(1+C26)*(C9+C19)))*G5)</f>
        <v>1160918.99059712</v>
      </c>
      <c r="D27" s="38"/>
      <c r="E27" s="34" t="s">
        <v>54</v>
      </c>
      <c r="F27" s="33">
        <f>F26-F17</f>
        <v>411735</v>
      </c>
      <c r="G27" s="33">
        <f>G26-G17</f>
        <v>411735</v>
      </c>
      <c r="H27" s="38"/>
      <c r="I27" s="34" t="s">
        <v>54</v>
      </c>
      <c r="J27" s="33" t="e">
        <f>J26-J25</f>
        <v>#DIV/0!</v>
      </c>
      <c r="K27" s="33">
        <f>K26-K25</f>
        <v>-3195253.33175528</v>
      </c>
    </row>
    <row r="28" spans="1:11">
      <c r="A28" s="14"/>
      <c r="B28" s="14" t="s">
        <v>55</v>
      </c>
      <c r="C28" s="14">
        <f>C27/C20</f>
        <v>193.48649843285401</v>
      </c>
      <c r="D28" s="38"/>
      <c r="E28" s="34" t="s">
        <v>56</v>
      </c>
      <c r="F28" s="24">
        <f>F27/F17</f>
        <v>0.42522966336695001</v>
      </c>
      <c r="G28" s="24">
        <f>G27/G17</f>
        <v>0.42522966336695001</v>
      </c>
      <c r="H28" s="38"/>
      <c r="I28" s="34" t="s">
        <v>56</v>
      </c>
      <c r="J28" s="24" t="e">
        <f>J27/J25</f>
        <v>#DIV/0!</v>
      </c>
      <c r="K28" s="24">
        <f>K27/K25</f>
        <v>-1</v>
      </c>
    </row>
    <row r="34" spans="5:13">
      <c r="M34" s="1"/>
    </row>
    <row r="35" spans="5:13">
      <c r="E35" s="27"/>
      <c r="G35" s="27"/>
      <c r="K35" s="27"/>
    </row>
  </sheetData>
  <sheetProtection algorithmName="SHA-512" hashValue="dZNJBapTdJhLM2yD5+y6F58mKq73PJ/d+4dKDXygC+7ldn3bWtjSUrlXRV0yzA2ZOWonrcKMHb1zzx+wugad4w==" saltValue="OwYCjnjui25zT+ltnjG1OQ==" spinCount="100000" sheet="1" objects="1"/>
  <protectedRanges>
    <protectedRange sqref="C5:C15 C26 F15 F11 G5 K5 J16 J22 C20:C21" name="区域2" securityDescriptor=""/>
    <protectedRange sqref="K8" name="区域3" securityDescriptor=""/>
    <protectedRange sqref="C16:C17" name="区域1" securityDescriptor=""/>
    <protectedRange sqref="C18:C19" name="区域1_1" securityDescriptor=""/>
  </protectedRanges>
  <mergeCells count="16">
    <mergeCell ref="A1:K2"/>
    <mergeCell ref="D3:G4"/>
    <mergeCell ref="H3:K4"/>
    <mergeCell ref="E18:G25"/>
    <mergeCell ref="A3:C4"/>
    <mergeCell ref="D26:D28"/>
    <mergeCell ref="E13:E14"/>
    <mergeCell ref="H10:H11"/>
    <mergeCell ref="H15:H20"/>
    <mergeCell ref="H21:H24"/>
    <mergeCell ref="H26:H28"/>
    <mergeCell ref="A5:A10"/>
    <mergeCell ref="A11:A15"/>
    <mergeCell ref="A16:A21"/>
    <mergeCell ref="D7:D9"/>
    <mergeCell ref="D10:D16"/>
  </mergeCells>
  <phoneticPr fontId="9" type="noConversion"/>
  <pageMargins left="0.69930555555555596" right="0.69930555555555596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E20" sqref="E20:G25"/>
    </sheetView>
  </sheetViews>
  <sheetFormatPr defaultColWidth="9" defaultRowHeight="13.5"/>
  <cols>
    <col min="1" max="1" width="5.125" customWidth="1"/>
    <col min="2" max="2" width="15.75" customWidth="1"/>
    <col min="3" max="3" width="14.75" customWidth="1"/>
    <col min="4" max="4" width="4" customWidth="1"/>
    <col min="5" max="5" width="12.125" customWidth="1"/>
    <col min="6" max="7" width="20.625" customWidth="1"/>
    <col min="8" max="8" width="4" customWidth="1"/>
    <col min="9" max="9" width="13.625" customWidth="1"/>
    <col min="10" max="11" width="20.625" customWidth="1"/>
  </cols>
  <sheetData>
    <row r="1" spans="1:11">
      <c r="A1" s="38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>
      <c r="A3" s="38" t="s">
        <v>1</v>
      </c>
      <c r="B3" s="38"/>
      <c r="C3" s="38"/>
      <c r="D3" s="38" t="s">
        <v>2</v>
      </c>
      <c r="E3" s="38"/>
      <c r="F3" s="38"/>
      <c r="G3" s="38"/>
      <c r="H3" s="38" t="s">
        <v>3</v>
      </c>
      <c r="I3" s="38"/>
      <c r="J3" s="38"/>
      <c r="K3" s="38"/>
    </row>
    <row r="4" spans="1:1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4.25" customHeight="1">
      <c r="A5" s="36" t="s">
        <v>4</v>
      </c>
      <c r="B5" s="12" t="s">
        <v>5</v>
      </c>
      <c r="C5" s="13">
        <v>0</v>
      </c>
      <c r="D5" s="14"/>
      <c r="E5" s="14"/>
      <c r="F5" s="14" t="s">
        <v>6</v>
      </c>
      <c r="G5" s="15">
        <v>1</v>
      </c>
      <c r="H5" s="14"/>
      <c r="I5" s="14"/>
      <c r="J5" s="14" t="s">
        <v>6</v>
      </c>
      <c r="K5" s="25">
        <v>3.4099999999999998E-2</v>
      </c>
    </row>
    <row r="6" spans="1:11">
      <c r="A6" s="36"/>
      <c r="B6" s="12" t="s">
        <v>7</v>
      </c>
      <c r="C6" s="16">
        <v>0</v>
      </c>
      <c r="D6" s="14"/>
      <c r="E6" s="28" t="s">
        <v>8</v>
      </c>
      <c r="F6" s="14" t="s">
        <v>9</v>
      </c>
      <c r="G6" s="14" t="s">
        <v>10</v>
      </c>
      <c r="H6" s="14"/>
      <c r="I6" s="28" t="s">
        <v>8</v>
      </c>
      <c r="J6" s="14" t="s">
        <v>9</v>
      </c>
      <c r="K6" s="14" t="s">
        <v>10</v>
      </c>
    </row>
    <row r="7" spans="1:11">
      <c r="A7" s="36"/>
      <c r="B7" s="12" t="s">
        <v>11</v>
      </c>
      <c r="C7" s="13">
        <v>0.17</v>
      </c>
      <c r="D7" s="38">
        <v>1</v>
      </c>
      <c r="E7" s="18" t="s">
        <v>58</v>
      </c>
      <c r="F7" s="19">
        <f>C10*C20</f>
        <v>185640</v>
      </c>
      <c r="G7" s="19">
        <f>F7*G5</f>
        <v>185640</v>
      </c>
      <c r="H7" s="14"/>
      <c r="I7" s="38"/>
      <c r="J7" s="38"/>
      <c r="K7" s="38"/>
    </row>
    <row r="8" spans="1:11">
      <c r="A8" s="36"/>
      <c r="B8" s="12" t="s">
        <v>14</v>
      </c>
      <c r="C8" s="16">
        <v>0</v>
      </c>
      <c r="D8" s="38"/>
      <c r="E8" s="18" t="s">
        <v>15</v>
      </c>
      <c r="F8" s="19">
        <f>(F7*C8)/(1+C7)</f>
        <v>0</v>
      </c>
      <c r="G8" s="19">
        <f>(G7*C8)/(1+C7)</f>
        <v>0</v>
      </c>
      <c r="H8" s="14"/>
      <c r="I8" s="38"/>
      <c r="J8" s="38"/>
      <c r="K8" s="38"/>
    </row>
    <row r="9" spans="1:11">
      <c r="A9" s="36"/>
      <c r="B9" s="12" t="s">
        <v>17</v>
      </c>
      <c r="C9" s="13"/>
      <c r="D9" s="38"/>
      <c r="E9" s="18" t="s">
        <v>18</v>
      </c>
      <c r="F9" s="19">
        <f>F7-F8</f>
        <v>185640</v>
      </c>
      <c r="G9" s="19">
        <f>G7-G8</f>
        <v>185640</v>
      </c>
      <c r="H9" s="11">
        <v>1</v>
      </c>
      <c r="I9" s="14" t="s">
        <v>19</v>
      </c>
      <c r="J9" s="19">
        <f>C20*C21/K5</f>
        <v>6686217.008797654</v>
      </c>
      <c r="K9" s="19">
        <f>C20*C21</f>
        <v>228000</v>
      </c>
    </row>
    <row r="10" spans="1:11">
      <c r="A10" s="36"/>
      <c r="B10" s="12" t="s">
        <v>20</v>
      </c>
      <c r="C10" s="15">
        <v>1547</v>
      </c>
      <c r="D10" s="38">
        <v>2</v>
      </c>
      <c r="E10" s="18" t="s">
        <v>21</v>
      </c>
      <c r="F10" s="19">
        <f>F26*C9</f>
        <v>0</v>
      </c>
      <c r="G10" s="19">
        <f>G26*C9</f>
        <v>0</v>
      </c>
      <c r="H10" s="38">
        <v>2</v>
      </c>
      <c r="I10" s="14" t="s">
        <v>22</v>
      </c>
      <c r="J10" s="19">
        <f>J11*C17</f>
        <v>77375.498280979577</v>
      </c>
      <c r="K10" s="19">
        <f>K11*C17</f>
        <v>2638.5044913814036</v>
      </c>
    </row>
    <row r="11" spans="1:11" ht="14.25" customHeight="1">
      <c r="A11" s="37" t="s">
        <v>23</v>
      </c>
      <c r="B11" s="21" t="s">
        <v>24</v>
      </c>
      <c r="C11" s="13">
        <v>0.2</v>
      </c>
      <c r="D11" s="38"/>
      <c r="E11" s="18" t="s">
        <v>25</v>
      </c>
      <c r="F11" s="22">
        <v>12</v>
      </c>
      <c r="G11" s="19">
        <f>F11*G5</f>
        <v>12</v>
      </c>
      <c r="H11" s="38"/>
      <c r="I11" s="14" t="s">
        <v>26</v>
      </c>
      <c r="J11" s="19">
        <f>J9*C16/(1-C16*C17)</f>
        <v>8792670.2592022233</v>
      </c>
      <c r="K11" s="19">
        <f>K9*C16/(1-C16*C17)</f>
        <v>299830.05583879584</v>
      </c>
    </row>
    <row r="12" spans="1:11">
      <c r="A12" s="37"/>
      <c r="B12" s="21" t="s">
        <v>7</v>
      </c>
      <c r="C12" s="16">
        <v>0</v>
      </c>
      <c r="D12" s="38"/>
      <c r="E12" s="18" t="s">
        <v>27</v>
      </c>
      <c r="F12" s="19">
        <f>F26*C5/(1+C5)</f>
        <v>0</v>
      </c>
      <c r="G12" s="19">
        <f>G26*C5/(1+C5)</f>
        <v>0</v>
      </c>
      <c r="H12" s="38"/>
      <c r="I12" s="28" t="s">
        <v>59</v>
      </c>
      <c r="J12" s="19">
        <f>J9+J10</f>
        <v>6763592.5070786336</v>
      </c>
      <c r="K12" s="19">
        <f>K9+K10</f>
        <v>230638.50449138141</v>
      </c>
    </row>
    <row r="13" spans="1:11">
      <c r="A13" s="37"/>
      <c r="B13" s="21" t="s">
        <v>11</v>
      </c>
      <c r="C13" s="13">
        <v>0.17</v>
      </c>
      <c r="D13" s="38"/>
      <c r="E13" s="42" t="s">
        <v>29</v>
      </c>
      <c r="F13" s="19">
        <f>F26*C18</f>
        <v>0</v>
      </c>
      <c r="G13" s="19">
        <f>G26*C18</f>
        <v>0</v>
      </c>
      <c r="H13" s="11">
        <v>3</v>
      </c>
      <c r="I13" s="28" t="s">
        <v>30</v>
      </c>
      <c r="J13" s="19">
        <f>J12*C11</f>
        <v>1352718.5014157267</v>
      </c>
      <c r="K13" s="19">
        <f>K12*C11</f>
        <v>46127.700898276285</v>
      </c>
    </row>
    <row r="14" spans="1:11">
      <c r="A14" s="37"/>
      <c r="B14" s="21" t="s">
        <v>17</v>
      </c>
      <c r="C14" s="16"/>
      <c r="D14" s="38"/>
      <c r="E14" s="42"/>
      <c r="F14" s="19">
        <f>F26*C19</f>
        <v>228</v>
      </c>
      <c r="G14" s="19">
        <f>G26*C19</f>
        <v>228</v>
      </c>
      <c r="H14" s="11">
        <v>4</v>
      </c>
      <c r="I14" s="28" t="s">
        <v>31</v>
      </c>
      <c r="J14" s="19">
        <f>J12+J13</f>
        <v>8116311.0084943604</v>
      </c>
      <c r="K14" s="19">
        <f>K12+K13</f>
        <v>276766.2053896577</v>
      </c>
    </row>
    <row r="15" spans="1:11">
      <c r="A15" s="37"/>
      <c r="B15" s="21" t="s">
        <v>32</v>
      </c>
      <c r="C15" s="23">
        <v>90634.12</v>
      </c>
      <c r="D15" s="38"/>
      <c r="E15" s="18" t="s">
        <v>33</v>
      </c>
      <c r="F15" s="22">
        <v>4</v>
      </c>
      <c r="G15" s="19">
        <f>F15*G5</f>
        <v>4</v>
      </c>
      <c r="H15" s="38">
        <v>5</v>
      </c>
      <c r="I15" s="28" t="s">
        <v>21</v>
      </c>
      <c r="J15" s="19">
        <f>J9*C14</f>
        <v>0</v>
      </c>
      <c r="K15" s="19">
        <f>K9*C14</f>
        <v>0</v>
      </c>
    </row>
    <row r="16" spans="1:11" ht="14.25" customHeight="1">
      <c r="A16" s="36" t="s">
        <v>34</v>
      </c>
      <c r="B16" s="12" t="s">
        <v>35</v>
      </c>
      <c r="C16" s="20">
        <v>1.3</v>
      </c>
      <c r="D16" s="38"/>
      <c r="E16" s="18" t="s">
        <v>36</v>
      </c>
      <c r="F16" s="19">
        <f>F15+F14+F13+F12+F11+F10</f>
        <v>244</v>
      </c>
      <c r="G16" s="19">
        <f>G15+G14+G13+G12+G11+G10</f>
        <v>244</v>
      </c>
      <c r="H16" s="38"/>
      <c r="I16" s="28" t="s">
        <v>25</v>
      </c>
      <c r="J16" s="22">
        <v>340</v>
      </c>
      <c r="K16" s="19">
        <f>J16*K5</f>
        <v>11.593999999999999</v>
      </c>
    </row>
    <row r="17" spans="1:11">
      <c r="A17" s="36"/>
      <c r="B17" s="12" t="s">
        <v>37</v>
      </c>
      <c r="C17" s="23">
        <v>8.8000000000000005E-3</v>
      </c>
      <c r="D17" s="11">
        <v>3</v>
      </c>
      <c r="E17" s="18" t="s">
        <v>60</v>
      </c>
      <c r="F17" s="19">
        <f>F9+F16</f>
        <v>185884</v>
      </c>
      <c r="G17" s="19">
        <f>G9+G16</f>
        <v>185884</v>
      </c>
      <c r="H17" s="38"/>
      <c r="I17" s="28" t="s">
        <v>39</v>
      </c>
      <c r="J17" s="19">
        <f>J14*C12/(1-C12)</f>
        <v>0</v>
      </c>
      <c r="K17" s="19">
        <f>K14*C12/(1-C12)</f>
        <v>0</v>
      </c>
    </row>
    <row r="18" spans="1:11">
      <c r="A18" s="36"/>
      <c r="B18" s="12" t="s">
        <v>40</v>
      </c>
      <c r="C18" s="16"/>
      <c r="D18" s="38">
        <v>4</v>
      </c>
      <c r="E18" s="18" t="s">
        <v>61</v>
      </c>
      <c r="F18" s="19">
        <f>G18/G5</f>
        <v>700.9</v>
      </c>
      <c r="G18" s="22">
        <v>700.9</v>
      </c>
      <c r="H18" s="38"/>
      <c r="I18" s="28" t="s">
        <v>42</v>
      </c>
      <c r="J18" s="19">
        <f>(J14+J17)*C13</f>
        <v>1379772.8714440414</v>
      </c>
      <c r="K18" s="19">
        <f>(K14+K17)*C13</f>
        <v>47050.254916241814</v>
      </c>
    </row>
    <row r="19" spans="1:11">
      <c r="A19" s="36"/>
      <c r="B19" s="12" t="s">
        <v>43</v>
      </c>
      <c r="C19" s="13">
        <v>1E-3</v>
      </c>
      <c r="D19" s="38"/>
      <c r="E19" s="18" t="s">
        <v>62</v>
      </c>
      <c r="F19" s="19">
        <f>F17+F18</f>
        <v>186584.9</v>
      </c>
      <c r="G19" s="19">
        <f>G17+G18</f>
        <v>186584.9</v>
      </c>
      <c r="H19" s="38"/>
      <c r="I19" s="28" t="s">
        <v>33</v>
      </c>
      <c r="J19" s="26">
        <v>0</v>
      </c>
      <c r="K19" s="19">
        <f>J19*K5</f>
        <v>0</v>
      </c>
    </row>
    <row r="20" spans="1:11">
      <c r="A20" s="36"/>
      <c r="B20" s="12" t="s">
        <v>44</v>
      </c>
      <c r="C20" s="15">
        <v>120</v>
      </c>
      <c r="D20" s="11"/>
      <c r="E20" s="43"/>
      <c r="F20" s="43"/>
      <c r="G20" s="43"/>
      <c r="H20" s="38"/>
      <c r="I20" s="28" t="s">
        <v>36</v>
      </c>
      <c r="J20" s="19">
        <f>J15+J16+J17+J18+J19</f>
        <v>1380112.8714440414</v>
      </c>
      <c r="K20" s="19">
        <f>K15+K16+K17+K18+K19</f>
        <v>47061.848916241812</v>
      </c>
    </row>
    <row r="21" spans="1:11">
      <c r="A21" s="36"/>
      <c r="B21" s="12" t="s">
        <v>45</v>
      </c>
      <c r="C21" s="23">
        <v>1900</v>
      </c>
      <c r="D21" s="11"/>
      <c r="E21" s="43"/>
      <c r="F21" s="43"/>
      <c r="G21" s="43"/>
      <c r="H21" s="38">
        <v>6</v>
      </c>
      <c r="I21" s="28" t="s">
        <v>29</v>
      </c>
      <c r="J21" s="19">
        <f>J22+J23+J24</f>
        <v>6686.2170087976538</v>
      </c>
      <c r="K21" s="19">
        <f>K22+K23+K24</f>
        <v>228</v>
      </c>
    </row>
    <row r="22" spans="1:11">
      <c r="A22" s="14"/>
      <c r="B22" s="14"/>
      <c r="C22" s="14"/>
      <c r="D22" s="11"/>
      <c r="E22" s="43"/>
      <c r="F22" s="43"/>
      <c r="G22" s="43"/>
      <c r="H22" s="38"/>
      <c r="I22" s="28" t="s">
        <v>46</v>
      </c>
      <c r="J22" s="22"/>
      <c r="K22" s="19">
        <f>J22*K5</f>
        <v>0</v>
      </c>
    </row>
    <row r="23" spans="1:11">
      <c r="A23" s="14"/>
      <c r="B23" s="14"/>
      <c r="C23" s="14"/>
      <c r="D23" s="11"/>
      <c r="E23" s="43"/>
      <c r="F23" s="43"/>
      <c r="G23" s="43"/>
      <c r="H23" s="38"/>
      <c r="I23" s="28" t="s">
        <v>63</v>
      </c>
      <c r="J23" s="19">
        <f>J9*C18</f>
        <v>0</v>
      </c>
      <c r="K23" s="19">
        <f>K9*C18</f>
        <v>0</v>
      </c>
    </row>
    <row r="24" spans="1:11">
      <c r="A24" s="14"/>
      <c r="B24" s="14"/>
      <c r="C24" s="14"/>
      <c r="D24" s="11"/>
      <c r="E24" s="43"/>
      <c r="F24" s="43"/>
      <c r="G24" s="43"/>
      <c r="H24" s="38"/>
      <c r="I24" s="28" t="s">
        <v>48</v>
      </c>
      <c r="J24" s="19">
        <f>J9*C19</f>
        <v>6686.2170087976538</v>
      </c>
      <c r="K24" s="19">
        <f>K9*C19</f>
        <v>228</v>
      </c>
    </row>
    <row r="25" spans="1:11">
      <c r="A25" s="14"/>
      <c r="B25" s="14"/>
      <c r="C25" s="14"/>
      <c r="D25" s="11"/>
      <c r="E25" s="43"/>
      <c r="F25" s="43"/>
      <c r="G25" s="43"/>
      <c r="H25" s="11">
        <v>7</v>
      </c>
      <c r="I25" s="14" t="s">
        <v>49</v>
      </c>
      <c r="J25" s="19">
        <f>J14+J20+J21</f>
        <v>9503110.0969471987</v>
      </c>
      <c r="K25" s="19">
        <f>K14+K20+K21</f>
        <v>324056.05430589954</v>
      </c>
    </row>
    <row r="26" spans="1:11">
      <c r="A26" s="14"/>
      <c r="B26" s="14" t="s">
        <v>50</v>
      </c>
      <c r="C26" s="16">
        <v>0.2</v>
      </c>
      <c r="D26" s="38">
        <v>5</v>
      </c>
      <c r="E26" s="19" t="s">
        <v>51</v>
      </c>
      <c r="F26" s="19">
        <f>C20*C21/G5</f>
        <v>228000</v>
      </c>
      <c r="G26" s="19">
        <f>C20*C21</f>
        <v>228000</v>
      </c>
      <c r="H26" s="38">
        <v>8</v>
      </c>
      <c r="I26" s="28" t="s">
        <v>52</v>
      </c>
      <c r="J26" s="19">
        <f>C15*C20</f>
        <v>10876094.399999999</v>
      </c>
      <c r="K26" s="19">
        <f>C15*C20*K5</f>
        <v>370874.81903999991</v>
      </c>
    </row>
    <row r="27" spans="1:11">
      <c r="A27" s="14"/>
      <c r="B27" s="14" t="s">
        <v>53</v>
      </c>
      <c r="C27" s="14">
        <f>IF(C18,((F9+F11+F15+G18/G5)*(1+C26)/(1-(1+C26)*(C9+C18)))*G5,((F9+F11+F15+G18/G5)*(1+C26)/(1-(1+C26)*(C9+C19)))*G5)</f>
        <v>223896.95634761715</v>
      </c>
      <c r="D27" s="38"/>
      <c r="E27" s="18" t="s">
        <v>54</v>
      </c>
      <c r="F27" s="19">
        <f>F26-F19</f>
        <v>41415.100000000006</v>
      </c>
      <c r="G27" s="19">
        <f>G26-G19</f>
        <v>41415.100000000006</v>
      </c>
      <c r="H27" s="38"/>
      <c r="I27" s="28" t="s">
        <v>54</v>
      </c>
      <c r="J27" s="19">
        <f>J26-J25</f>
        <v>1372984.3030527998</v>
      </c>
      <c r="K27" s="19">
        <f>K26-K25</f>
        <v>46818.764734100376</v>
      </c>
    </row>
    <row r="28" spans="1:11">
      <c r="A28" s="14"/>
      <c r="B28" s="14" t="s">
        <v>55</v>
      </c>
      <c r="C28" s="14">
        <f>C27/C20</f>
        <v>1865.8079695634763</v>
      </c>
      <c r="D28" s="38"/>
      <c r="E28" s="28" t="s">
        <v>56</v>
      </c>
      <c r="F28" s="24">
        <f>F27/F19</f>
        <v>0.22196383522996774</v>
      </c>
      <c r="G28" s="24">
        <f>G27/G19</f>
        <v>0.22196383522996774</v>
      </c>
      <c r="H28" s="38"/>
      <c r="I28" s="28" t="s">
        <v>56</v>
      </c>
      <c r="J28" s="24">
        <f>J27/J25</f>
        <v>0.14447736467810265</v>
      </c>
      <c r="K28" s="24">
        <f>K27/K25</f>
        <v>0.14447736467810232</v>
      </c>
    </row>
    <row r="29" spans="1:11">
      <c r="D29" s="29"/>
    </row>
    <row r="38" spans="9:9">
      <c r="I38" s="27"/>
    </row>
  </sheetData>
  <sheetProtection algorithmName="SHA-512" hashValue="Ie6CWWaduSww6gKgB1pSWnz6jniRiNVC3xQ/qi/eeD0GF0O+1bp8OwVSdKMf3SlQpDGz0WPZR02FYpMa6XGWXg==" saltValue="MvbPZDRzCzgwkR7TPI4ecg==" spinCount="100000" sheet="1" objects="1"/>
  <protectedRanges>
    <protectedRange sqref="C5:C15 C26 F15 F11 G18 J16 J22 C18:C21" name="区域1" securityDescriptor=""/>
    <protectedRange sqref="C16:C17" name="区域1_1" securityDescriptor=""/>
    <protectedRange sqref="G5" name="区域2" securityDescriptor=""/>
    <protectedRange sqref="K5" name="区域2_2" securityDescriptor=""/>
  </protectedRanges>
  <mergeCells count="18">
    <mergeCell ref="A1:K2"/>
    <mergeCell ref="A3:C4"/>
    <mergeCell ref="D3:G4"/>
    <mergeCell ref="H3:K4"/>
    <mergeCell ref="E20:G25"/>
    <mergeCell ref="I7:K8"/>
    <mergeCell ref="D26:D28"/>
    <mergeCell ref="E13:E14"/>
    <mergeCell ref="H10:H12"/>
    <mergeCell ref="H15:H20"/>
    <mergeCell ref="H21:H24"/>
    <mergeCell ref="H26:H28"/>
    <mergeCell ref="A5:A10"/>
    <mergeCell ref="A11:A15"/>
    <mergeCell ref="A16:A21"/>
    <mergeCell ref="D7:D9"/>
    <mergeCell ref="D10:D16"/>
    <mergeCell ref="D18:D19"/>
  </mergeCells>
  <phoneticPr fontId="9" type="noConversion"/>
  <pageMargins left="0.69930555555555596" right="0.69930555555555596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workbookViewId="0">
      <selection activeCell="F34" sqref="F34"/>
    </sheetView>
  </sheetViews>
  <sheetFormatPr defaultColWidth="9" defaultRowHeight="13.5"/>
  <cols>
    <col min="1" max="1" width="5.75" customWidth="1"/>
    <col min="2" max="2" width="15.625" customWidth="1"/>
    <col min="3" max="3" width="14.75" customWidth="1"/>
    <col min="4" max="4" width="3.875" customWidth="1"/>
    <col min="5" max="5" width="13.25" customWidth="1"/>
    <col min="6" max="7" width="20.625" customWidth="1"/>
    <col min="8" max="8" width="3.375" customWidth="1"/>
    <col min="9" max="9" width="14" customWidth="1"/>
    <col min="10" max="11" width="20.625" customWidth="1"/>
  </cols>
  <sheetData>
    <row r="1" spans="1:11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>
      <c r="A3" s="38" t="s">
        <v>1</v>
      </c>
      <c r="B3" s="38"/>
      <c r="C3" s="38"/>
      <c r="D3" s="38" t="s">
        <v>2</v>
      </c>
      <c r="E3" s="38"/>
      <c r="F3" s="38"/>
      <c r="G3" s="38"/>
      <c r="H3" s="38" t="s">
        <v>3</v>
      </c>
      <c r="I3" s="38"/>
      <c r="J3" s="38"/>
      <c r="K3" s="38"/>
    </row>
    <row r="4" spans="1:1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4.25" customHeight="1">
      <c r="A5" s="36" t="s">
        <v>4</v>
      </c>
      <c r="B5" s="12" t="s">
        <v>5</v>
      </c>
      <c r="C5" s="13">
        <v>0</v>
      </c>
      <c r="D5" s="11"/>
      <c r="E5" s="14"/>
      <c r="F5" s="14" t="s">
        <v>6</v>
      </c>
      <c r="G5" s="15">
        <v>1.0345</v>
      </c>
      <c r="H5" s="14"/>
      <c r="I5" s="14"/>
      <c r="J5" s="14" t="s">
        <v>6</v>
      </c>
      <c r="K5" s="25">
        <v>1</v>
      </c>
    </row>
    <row r="6" spans="1:11">
      <c r="A6" s="36"/>
      <c r="B6" s="12" t="s">
        <v>7</v>
      </c>
      <c r="C6" s="16">
        <v>0</v>
      </c>
      <c r="D6" s="17"/>
      <c r="E6" s="14" t="s">
        <v>8</v>
      </c>
      <c r="F6" s="14" t="s">
        <v>9</v>
      </c>
      <c r="G6" s="14" t="s">
        <v>10</v>
      </c>
      <c r="H6" s="14"/>
      <c r="I6" s="14" t="s">
        <v>8</v>
      </c>
      <c r="J6" s="14" t="s">
        <v>9</v>
      </c>
      <c r="K6" s="14" t="s">
        <v>10</v>
      </c>
    </row>
    <row r="7" spans="1:11">
      <c r="A7" s="36"/>
      <c r="B7" s="12" t="s">
        <v>11</v>
      </c>
      <c r="C7" s="13">
        <v>0.17</v>
      </c>
      <c r="D7" s="38">
        <v>1</v>
      </c>
      <c r="E7" s="18" t="s">
        <v>58</v>
      </c>
      <c r="F7" s="19">
        <f>C10*C20</f>
        <v>394830</v>
      </c>
      <c r="G7" s="19">
        <f>F7*G5</f>
        <v>408451.63500000001</v>
      </c>
      <c r="H7" s="14"/>
      <c r="I7" s="38"/>
      <c r="J7" s="38"/>
      <c r="K7" s="38"/>
    </row>
    <row r="8" spans="1:11">
      <c r="A8" s="36"/>
      <c r="B8" s="12" t="s">
        <v>14</v>
      </c>
      <c r="C8" s="20">
        <v>0.17</v>
      </c>
      <c r="D8" s="38"/>
      <c r="E8" s="18" t="s">
        <v>15</v>
      </c>
      <c r="F8" s="19">
        <f>(F7*C8)/(1+C7)</f>
        <v>57368.461538461503</v>
      </c>
      <c r="G8" s="19">
        <f>(G7*C8)/(1+C7)</f>
        <v>59347.673461538499</v>
      </c>
      <c r="H8" s="14"/>
      <c r="I8" s="38"/>
      <c r="J8" s="38"/>
      <c r="K8" s="38"/>
    </row>
    <row r="9" spans="1:11">
      <c r="A9" s="36"/>
      <c r="B9" s="12" t="s">
        <v>17</v>
      </c>
      <c r="C9" s="13">
        <v>0</v>
      </c>
      <c r="D9" s="38"/>
      <c r="E9" s="18" t="s">
        <v>18</v>
      </c>
      <c r="F9" s="19">
        <f>F7-F8</f>
        <v>337461.53846153797</v>
      </c>
      <c r="G9" s="19">
        <f>G7-G8</f>
        <v>349103.96153846203</v>
      </c>
      <c r="H9" s="14"/>
      <c r="I9" s="38"/>
      <c r="J9" s="38"/>
      <c r="K9" s="38"/>
    </row>
    <row r="10" spans="1:11">
      <c r="A10" s="36"/>
      <c r="B10" s="12" t="s">
        <v>20</v>
      </c>
      <c r="C10" s="15">
        <v>43.87</v>
      </c>
      <c r="D10" s="38">
        <v>2</v>
      </c>
      <c r="E10" s="18" t="s">
        <v>21</v>
      </c>
      <c r="F10" s="19">
        <f>F26*C9</f>
        <v>0</v>
      </c>
      <c r="G10" s="19">
        <f>G26*C9</f>
        <v>0</v>
      </c>
      <c r="H10" s="14"/>
      <c r="I10" s="38"/>
      <c r="J10" s="38"/>
      <c r="K10" s="38"/>
    </row>
    <row r="11" spans="1:11" ht="14.25" customHeight="1">
      <c r="A11" s="37" t="s">
        <v>23</v>
      </c>
      <c r="B11" s="21" t="s">
        <v>24</v>
      </c>
      <c r="C11" s="13">
        <v>0.16</v>
      </c>
      <c r="D11" s="38"/>
      <c r="E11" s="18" t="s">
        <v>25</v>
      </c>
      <c r="F11" s="22">
        <v>16</v>
      </c>
      <c r="G11" s="19">
        <f>F11*G5</f>
        <v>16.552</v>
      </c>
      <c r="H11" s="14"/>
      <c r="I11" s="38"/>
      <c r="J11" s="38"/>
      <c r="K11" s="38"/>
    </row>
    <row r="12" spans="1:11">
      <c r="A12" s="37"/>
      <c r="B12" s="21" t="s">
        <v>7</v>
      </c>
      <c r="C12" s="16">
        <v>0</v>
      </c>
      <c r="D12" s="38"/>
      <c r="E12" s="18" t="s">
        <v>27</v>
      </c>
      <c r="F12" s="19">
        <f>F26*C5/(1+C5)</f>
        <v>0</v>
      </c>
      <c r="G12" s="19">
        <f>G26*C5/(1+C5)</f>
        <v>0</v>
      </c>
      <c r="H12" s="6">
        <v>1</v>
      </c>
      <c r="I12" s="18" t="s">
        <v>59</v>
      </c>
      <c r="J12" s="19">
        <f>C20*C21/K5</f>
        <v>445050</v>
      </c>
      <c r="K12" s="19">
        <f>C20*C21</f>
        <v>445050</v>
      </c>
    </row>
    <row r="13" spans="1:11">
      <c r="A13" s="37"/>
      <c r="B13" s="21" t="s">
        <v>11</v>
      </c>
      <c r="C13" s="13">
        <v>0.17</v>
      </c>
      <c r="D13" s="38"/>
      <c r="E13" s="42" t="s">
        <v>29</v>
      </c>
      <c r="F13" s="19">
        <f>F26*C18</f>
        <v>0</v>
      </c>
      <c r="G13" s="19">
        <f>G26*C18</f>
        <v>0</v>
      </c>
      <c r="H13" s="6">
        <v>2</v>
      </c>
      <c r="I13" s="18" t="s">
        <v>30</v>
      </c>
      <c r="J13" s="19">
        <f>J12*C11</f>
        <v>71208</v>
      </c>
      <c r="K13" s="19">
        <f>K12*C11</f>
        <v>71208</v>
      </c>
    </row>
    <row r="14" spans="1:11">
      <c r="A14" s="37"/>
      <c r="B14" s="21" t="s">
        <v>17</v>
      </c>
      <c r="C14" s="16">
        <v>0</v>
      </c>
      <c r="D14" s="38"/>
      <c r="E14" s="42"/>
      <c r="F14" s="19">
        <f>F26*C19</f>
        <v>430.20782986950201</v>
      </c>
      <c r="G14" s="19">
        <f>G26*C19</f>
        <v>445.05</v>
      </c>
      <c r="H14" s="6">
        <v>3</v>
      </c>
      <c r="I14" s="18" t="s">
        <v>31</v>
      </c>
      <c r="J14" s="19">
        <f>J12+J13</f>
        <v>516258</v>
      </c>
      <c r="K14" s="19">
        <f>K12+K13</f>
        <v>516258</v>
      </c>
    </row>
    <row r="15" spans="1:11">
      <c r="A15" s="37"/>
      <c r="B15" s="21" t="s">
        <v>32</v>
      </c>
      <c r="C15" s="23">
        <v>77.930000000000007</v>
      </c>
      <c r="D15" s="38"/>
      <c r="E15" s="18" t="s">
        <v>33</v>
      </c>
      <c r="F15" s="22">
        <v>7</v>
      </c>
      <c r="G15" s="19">
        <f>F15*G5</f>
        <v>7.2415000000000003</v>
      </c>
      <c r="H15" s="44">
        <v>4</v>
      </c>
      <c r="I15" s="18" t="s">
        <v>21</v>
      </c>
      <c r="J15" s="19">
        <f>J12*C14</f>
        <v>0</v>
      </c>
      <c r="K15" s="19">
        <f>K12*C14</f>
        <v>0</v>
      </c>
    </row>
    <row r="16" spans="1:11" ht="14.25" customHeight="1">
      <c r="A16" s="36" t="s">
        <v>34</v>
      </c>
      <c r="B16" s="12" t="s">
        <v>35</v>
      </c>
      <c r="C16" s="20">
        <v>1.3</v>
      </c>
      <c r="D16" s="38"/>
      <c r="E16" s="18" t="s">
        <v>36</v>
      </c>
      <c r="F16" s="19">
        <f>F15+F14+F13+F12+F11+F10</f>
        <v>453.20782986950201</v>
      </c>
      <c r="G16" s="19">
        <f>G15+G14+G13+G12+G11+G10</f>
        <v>468.84350000000001</v>
      </c>
      <c r="H16" s="44"/>
      <c r="I16" s="18" t="s">
        <v>25</v>
      </c>
      <c r="J16" s="22">
        <v>12</v>
      </c>
      <c r="K16" s="19">
        <f>J16*K5</f>
        <v>12</v>
      </c>
    </row>
    <row r="17" spans="1:11">
      <c r="A17" s="36"/>
      <c r="B17" s="12" t="s">
        <v>37</v>
      </c>
      <c r="C17" s="23">
        <v>8.8000000000000005E-3</v>
      </c>
      <c r="D17" s="11">
        <v>3</v>
      </c>
      <c r="E17" s="18" t="s">
        <v>65</v>
      </c>
      <c r="F17" s="19">
        <f>F9+F16</f>
        <v>337914.74629140802</v>
      </c>
      <c r="G17" s="19">
        <f>G9+G16</f>
        <v>349572.80503846199</v>
      </c>
      <c r="H17" s="44"/>
      <c r="I17" s="18" t="s">
        <v>39</v>
      </c>
      <c r="J17" s="19">
        <f>J14*C12/(1-C12)</f>
        <v>0</v>
      </c>
      <c r="K17" s="19">
        <f>K14*C12/(1-C12)</f>
        <v>0</v>
      </c>
    </row>
    <row r="18" spans="1:11">
      <c r="A18" s="36"/>
      <c r="B18" s="12" t="s">
        <v>40</v>
      </c>
      <c r="C18" s="16">
        <v>0</v>
      </c>
      <c r="D18" s="38">
        <v>4</v>
      </c>
      <c r="E18" s="18" t="s">
        <v>61</v>
      </c>
      <c r="F18" s="19">
        <f>G18/G5</f>
        <v>3104.88158530691</v>
      </c>
      <c r="G18" s="22">
        <v>3212</v>
      </c>
      <c r="H18" s="44"/>
      <c r="I18" s="18" t="s">
        <v>42</v>
      </c>
      <c r="J18" s="19">
        <f>(J14+J17)*C13</f>
        <v>87763.86</v>
      </c>
      <c r="K18" s="19">
        <f>(K14+K17)*C13</f>
        <v>87763.86</v>
      </c>
    </row>
    <row r="19" spans="1:11">
      <c r="A19" s="36"/>
      <c r="B19" s="12" t="s">
        <v>43</v>
      </c>
      <c r="C19" s="13">
        <v>1E-3</v>
      </c>
      <c r="D19" s="38"/>
      <c r="E19" s="18" t="s">
        <v>62</v>
      </c>
      <c r="F19" s="19">
        <f>F17+F18</f>
        <v>341019.62787671498</v>
      </c>
      <c r="G19" s="19">
        <f>G17+G18</f>
        <v>352784.80503846199</v>
      </c>
      <c r="H19" s="44"/>
      <c r="I19" s="18" t="s">
        <v>33</v>
      </c>
      <c r="J19" s="26">
        <v>0</v>
      </c>
      <c r="K19" s="19">
        <f>J19*K5</f>
        <v>0</v>
      </c>
    </row>
    <row r="20" spans="1:11">
      <c r="A20" s="36"/>
      <c r="B20" s="12" t="s">
        <v>44</v>
      </c>
      <c r="C20" s="15">
        <v>9000</v>
      </c>
      <c r="D20" s="38">
        <v>5</v>
      </c>
      <c r="E20" s="18" t="s">
        <v>66</v>
      </c>
      <c r="F20" s="19">
        <f>F21*C17</f>
        <v>4921.5775737071099</v>
      </c>
      <c r="G20" s="19">
        <f>G21*C17</f>
        <v>5091.3720000000003</v>
      </c>
      <c r="H20" s="44"/>
      <c r="I20" s="18" t="s">
        <v>36</v>
      </c>
      <c r="J20" s="19">
        <f>J15+J16+J17+J18+J19</f>
        <v>87775.86</v>
      </c>
      <c r="K20" s="19">
        <f>K15+K16+K17+K18+K19</f>
        <v>87775.86</v>
      </c>
    </row>
    <row r="21" spans="1:11">
      <c r="A21" s="36"/>
      <c r="B21" s="12" t="s">
        <v>45</v>
      </c>
      <c r="C21" s="23">
        <v>49.45</v>
      </c>
      <c r="D21" s="38"/>
      <c r="E21" s="18" t="s">
        <v>26</v>
      </c>
      <c r="F21" s="19">
        <f>F26*C16</f>
        <v>559270.17883035296</v>
      </c>
      <c r="G21" s="19">
        <f>G26*C16</f>
        <v>578565</v>
      </c>
      <c r="H21" s="44">
        <v>5</v>
      </c>
      <c r="I21" s="18" t="s">
        <v>29</v>
      </c>
      <c r="J21" s="19">
        <f>J22+J23+J24</f>
        <v>445.05</v>
      </c>
      <c r="K21" s="19">
        <f>K22+K23+K24</f>
        <v>445.05</v>
      </c>
    </row>
    <row r="22" spans="1:11">
      <c r="A22" s="14"/>
      <c r="B22" s="14"/>
      <c r="C22" s="14"/>
      <c r="D22" s="38"/>
      <c r="E22" s="18" t="s">
        <v>67</v>
      </c>
      <c r="F22" s="19">
        <f>F19+F20</f>
        <v>345941.20545042201</v>
      </c>
      <c r="G22" s="19">
        <f>G19+G20</f>
        <v>357876.17703846202</v>
      </c>
      <c r="H22" s="44"/>
      <c r="I22" s="18" t="s">
        <v>46</v>
      </c>
      <c r="J22" s="22">
        <v>0</v>
      </c>
      <c r="K22" s="19">
        <f>J22*K5</f>
        <v>0</v>
      </c>
    </row>
    <row r="23" spans="1:11">
      <c r="A23" s="14"/>
      <c r="B23" s="14"/>
      <c r="C23" s="14"/>
      <c r="D23" s="14"/>
      <c r="E23" s="43"/>
      <c r="F23" s="43"/>
      <c r="G23" s="43"/>
      <c r="H23" s="44"/>
      <c r="I23" s="18" t="s">
        <v>63</v>
      </c>
      <c r="J23" s="19">
        <f>J12*C18</f>
        <v>0</v>
      </c>
      <c r="K23" s="19">
        <f>K12*C18</f>
        <v>0</v>
      </c>
    </row>
    <row r="24" spans="1:11">
      <c r="A24" s="14"/>
      <c r="B24" s="14"/>
      <c r="C24" s="14"/>
      <c r="D24" s="14"/>
      <c r="E24" s="43"/>
      <c r="F24" s="43"/>
      <c r="G24" s="43"/>
      <c r="H24" s="44"/>
      <c r="I24" s="18" t="s">
        <v>48</v>
      </c>
      <c r="J24" s="19">
        <f>J12*C19</f>
        <v>445.05</v>
      </c>
      <c r="K24" s="19">
        <f>K12*C19</f>
        <v>445.05</v>
      </c>
    </row>
    <row r="25" spans="1:11">
      <c r="A25" s="14"/>
      <c r="B25" s="14"/>
      <c r="C25" s="14"/>
      <c r="D25" s="14"/>
      <c r="E25" s="43"/>
      <c r="F25" s="43"/>
      <c r="G25" s="43"/>
      <c r="H25" s="6">
        <v>6</v>
      </c>
      <c r="I25" s="18" t="s">
        <v>49</v>
      </c>
      <c r="J25" s="19">
        <f>J14+J20+J21</f>
        <v>604478.91</v>
      </c>
      <c r="K25" s="19">
        <f>K14+K20+K21</f>
        <v>604478.91</v>
      </c>
    </row>
    <row r="26" spans="1:11">
      <c r="A26" s="14"/>
      <c r="B26" s="14" t="s">
        <v>50</v>
      </c>
      <c r="C26" s="16"/>
      <c r="D26" s="38">
        <v>6</v>
      </c>
      <c r="E26" s="19" t="s">
        <v>51</v>
      </c>
      <c r="F26" s="19">
        <f>C20*C21/G5</f>
        <v>430207.82986950199</v>
      </c>
      <c r="G26" s="19">
        <f>C20*C21</f>
        <v>445050</v>
      </c>
      <c r="H26" s="44">
        <v>7</v>
      </c>
      <c r="I26" s="18" t="s">
        <v>52</v>
      </c>
      <c r="J26" s="19">
        <f>C15*C20</f>
        <v>701370</v>
      </c>
      <c r="K26" s="19">
        <f>C15*C20*K5</f>
        <v>701370</v>
      </c>
    </row>
    <row r="27" spans="1:11">
      <c r="A27" s="14"/>
      <c r="B27" s="14" t="s">
        <v>53</v>
      </c>
      <c r="C27" s="14">
        <f>IF(C18,((F9+F11+F15+G18/G5)*(1+C26)/(1-(1+C26)*(C9+C18+C16*C17)))*G5,((F9+F11+F15+G18/G5)*(1+C26)/(1-(1+C26)*(C9+C19+C16*C17)))*G5)</f>
        <v>356778.07428253599</v>
      </c>
      <c r="D27" s="38"/>
      <c r="E27" s="18" t="s">
        <v>54</v>
      </c>
      <c r="F27" s="19">
        <f>F26-F22</f>
        <v>84266.624419080195</v>
      </c>
      <c r="G27" s="19">
        <f>G26-G22</f>
        <v>87173.822961538404</v>
      </c>
      <c r="H27" s="44"/>
      <c r="I27" s="18" t="s">
        <v>54</v>
      </c>
      <c r="J27" s="19">
        <f>J26-J25</f>
        <v>96891.090000000098</v>
      </c>
      <c r="K27" s="19">
        <f>K26-K25</f>
        <v>96891.090000000098</v>
      </c>
    </row>
    <row r="28" spans="1:11">
      <c r="A28" s="14"/>
      <c r="B28" s="14" t="s">
        <v>55</v>
      </c>
      <c r="C28" s="14">
        <f>C27/C20</f>
        <v>39.642008253615103</v>
      </c>
      <c r="D28" s="38"/>
      <c r="E28" s="18" t="s">
        <v>56</v>
      </c>
      <c r="F28" s="24">
        <f>F27/F22</f>
        <v>0.24358654907663699</v>
      </c>
      <c r="G28" s="24">
        <f>G27/G22</f>
        <v>0.24358654907663699</v>
      </c>
      <c r="H28" s="44"/>
      <c r="I28" s="18" t="s">
        <v>56</v>
      </c>
      <c r="J28" s="24">
        <f>J27/J25</f>
        <v>0.16028861949873499</v>
      </c>
      <c r="K28" s="24">
        <f>K27/K25</f>
        <v>0.16028861949873499</v>
      </c>
    </row>
    <row r="35" spans="9:9">
      <c r="I35" s="27"/>
    </row>
  </sheetData>
  <sheetProtection algorithmName="SHA-512" hashValue="2FZlThwsfw6PczECZEYf3E2+TOU1k82sYplnP0Zc+CwXaYm0el5NXer0opR3U0sxo+KnzQPT5BxhcvhVTuMZ4Q==" saltValue="bnmyuAJNxuUoFFx1fF3VzQ==" spinCount="100000" sheet="1" objects="1" scenarios="1"/>
  <protectedRanges>
    <protectedRange sqref="C5:C17 C26 F11 F15 G18 J16 J22 C20:C21" name="区域1" securityDescriptor=""/>
    <protectedRange sqref="C18:C19" name="区域1_2" securityDescriptor=""/>
    <protectedRange sqref="G5" name="区域2" securityDescriptor=""/>
    <protectedRange sqref="K5" name="区域2_1" securityDescriptor=""/>
  </protectedRanges>
  <mergeCells count="18">
    <mergeCell ref="A1:K2"/>
    <mergeCell ref="I7:K11"/>
    <mergeCell ref="D3:G4"/>
    <mergeCell ref="H3:K4"/>
    <mergeCell ref="E23:G25"/>
    <mergeCell ref="A3:C4"/>
    <mergeCell ref="D26:D28"/>
    <mergeCell ref="E13:E14"/>
    <mergeCell ref="H15:H20"/>
    <mergeCell ref="H21:H24"/>
    <mergeCell ref="H26:H28"/>
    <mergeCell ref="A5:A10"/>
    <mergeCell ref="A11:A15"/>
    <mergeCell ref="A16:A21"/>
    <mergeCell ref="D7:D9"/>
    <mergeCell ref="D10:D16"/>
    <mergeCell ref="D18:D19"/>
    <mergeCell ref="D20:D22"/>
  </mergeCells>
  <phoneticPr fontId="9" type="noConversion"/>
  <pageMargins left="0.69930555555555596" right="0.69930555555555596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4:J28"/>
  <sheetViews>
    <sheetView topLeftCell="D1" workbookViewId="0">
      <selection activeCell="L22" sqref="L22"/>
    </sheetView>
  </sheetViews>
  <sheetFormatPr defaultColWidth="9" defaultRowHeight="13.5"/>
  <cols>
    <col min="6" max="6" width="13.25" customWidth="1"/>
    <col min="7" max="7" width="13.75" customWidth="1"/>
    <col min="8" max="8" width="12.125" customWidth="1"/>
    <col min="9" max="9" width="10.25" customWidth="1"/>
    <col min="10" max="10" width="16.375" customWidth="1"/>
  </cols>
  <sheetData>
    <row r="4" spans="5:10">
      <c r="E4" s="50" t="s">
        <v>68</v>
      </c>
      <c r="F4" s="51"/>
      <c r="G4" s="51"/>
      <c r="H4" s="51"/>
      <c r="I4" s="51"/>
      <c r="J4" s="52"/>
    </row>
    <row r="5" spans="5:10">
      <c r="E5" s="53"/>
      <c r="F5" s="54"/>
      <c r="G5" s="54"/>
      <c r="H5" s="54"/>
      <c r="I5" s="54"/>
      <c r="J5" s="55"/>
    </row>
    <row r="6" spans="5:10">
      <c r="E6" s="56"/>
      <c r="F6" s="57"/>
      <c r="G6" s="57"/>
      <c r="H6" s="57"/>
      <c r="I6" s="57"/>
      <c r="J6" s="58"/>
    </row>
    <row r="7" spans="5:10">
      <c r="E7" s="45" t="s">
        <v>1</v>
      </c>
      <c r="F7" s="45"/>
      <c r="G7" s="45"/>
      <c r="H7" s="45" t="s">
        <v>69</v>
      </c>
      <c r="I7" s="45"/>
      <c r="J7" s="45"/>
    </row>
    <row r="8" spans="5:10">
      <c r="E8" s="2"/>
      <c r="F8" s="2" t="s">
        <v>70</v>
      </c>
      <c r="G8" s="3">
        <v>12</v>
      </c>
      <c r="H8" s="2"/>
      <c r="I8" s="2"/>
      <c r="J8" s="2"/>
    </row>
    <row r="9" spans="5:10">
      <c r="E9" s="4"/>
      <c r="F9" s="2" t="s">
        <v>71</v>
      </c>
      <c r="G9" s="5">
        <v>0.86</v>
      </c>
      <c r="H9" s="2" t="s">
        <v>72</v>
      </c>
      <c r="I9" s="2">
        <f>G8*G9/1000</f>
        <v>1.0320000000000001E-2</v>
      </c>
      <c r="J9" s="2" t="s">
        <v>73</v>
      </c>
    </row>
    <row r="10" spans="5:10">
      <c r="E10" s="2"/>
      <c r="F10" s="2" t="s">
        <v>74</v>
      </c>
      <c r="G10" s="3">
        <v>1.2999999999999999E-3</v>
      </c>
      <c r="H10" s="2" t="s">
        <v>75</v>
      </c>
      <c r="I10" s="2">
        <f>G8*G10</f>
        <v>1.5599999999999999E-2</v>
      </c>
      <c r="J10" s="2" t="s">
        <v>76</v>
      </c>
    </row>
    <row r="11" spans="5:10">
      <c r="E11" s="2"/>
      <c r="F11" s="2"/>
      <c r="G11" s="6" t="s">
        <v>77</v>
      </c>
      <c r="H11" s="6" t="s">
        <v>78</v>
      </c>
      <c r="I11" s="6" t="s">
        <v>79</v>
      </c>
      <c r="J11" s="6" t="s">
        <v>80</v>
      </c>
    </row>
    <row r="12" spans="5:10">
      <c r="E12" s="46" t="s">
        <v>81</v>
      </c>
      <c r="F12" s="2" t="s">
        <v>82</v>
      </c>
      <c r="G12" s="3">
        <v>1130</v>
      </c>
      <c r="H12" s="2">
        <f>ROUNDUP(MAX(I9/25,I10/33),0)</f>
        <v>1</v>
      </c>
      <c r="I12" s="2">
        <f t="shared" ref="I12:I14" si="0">G12*H12</f>
        <v>1130</v>
      </c>
      <c r="J12" s="48">
        <f>MIN(I12,I13,I14,I15)</f>
        <v>1.5755999999999999</v>
      </c>
    </row>
    <row r="13" spans="5:10">
      <c r="E13" s="46"/>
      <c r="F13" s="2" t="s">
        <v>83</v>
      </c>
      <c r="G13" s="5">
        <v>2599</v>
      </c>
      <c r="H13" s="2">
        <f>ROUNDUP(MAX(I9/29,I10/67),0)</f>
        <v>1</v>
      </c>
      <c r="I13" s="2">
        <f t="shared" si="0"/>
        <v>2599</v>
      </c>
      <c r="J13" s="48"/>
    </row>
    <row r="14" spans="5:10">
      <c r="E14" s="46"/>
      <c r="F14" s="2" t="s">
        <v>84</v>
      </c>
      <c r="G14" s="3">
        <v>2664</v>
      </c>
      <c r="H14" s="2">
        <f>ROUNDUP(MAX(I9/29,I10/76),0)</f>
        <v>1</v>
      </c>
      <c r="I14" s="2">
        <f t="shared" si="0"/>
        <v>2664</v>
      </c>
      <c r="J14" s="48"/>
    </row>
    <row r="15" spans="5:10">
      <c r="E15" s="46"/>
      <c r="F15" s="2" t="s">
        <v>85</v>
      </c>
      <c r="G15" s="5">
        <v>101</v>
      </c>
      <c r="H15" s="2"/>
      <c r="I15" s="47">
        <f>MAX(G15*I10,G16*I9)</f>
        <v>1.5755999999999999</v>
      </c>
      <c r="J15" s="48"/>
    </row>
    <row r="16" spans="5:10">
      <c r="E16" s="46"/>
      <c r="F16" s="2" t="s">
        <v>86</v>
      </c>
      <c r="G16" s="3">
        <v>134</v>
      </c>
      <c r="H16" s="2"/>
      <c r="I16" s="47"/>
      <c r="J16" s="48"/>
    </row>
    <row r="17" spans="5:10">
      <c r="E17" s="7"/>
      <c r="F17" s="2"/>
      <c r="G17" s="6" t="s">
        <v>77</v>
      </c>
      <c r="H17" s="6" t="s">
        <v>78</v>
      </c>
      <c r="I17" s="6" t="s">
        <v>79</v>
      </c>
      <c r="J17" s="6" t="s">
        <v>80</v>
      </c>
    </row>
    <row r="18" spans="5:10">
      <c r="E18" s="46" t="s">
        <v>87</v>
      </c>
      <c r="F18" s="2" t="s">
        <v>88</v>
      </c>
      <c r="G18" s="3"/>
      <c r="H18" s="2">
        <f>ROUNDUP(MAX(I9/21,I10/27),0)</f>
        <v>1</v>
      </c>
      <c r="I18" s="2">
        <f t="shared" ref="I18:I20" si="1">G18*H18</f>
        <v>0</v>
      </c>
      <c r="J18" s="48">
        <f>MIN(I18,I19,I20,I21)</f>
        <v>0</v>
      </c>
    </row>
    <row r="19" spans="5:10">
      <c r="E19" s="46"/>
      <c r="F19" s="2" t="s">
        <v>89</v>
      </c>
      <c r="G19" s="5"/>
      <c r="H19" s="2">
        <f>ROUNDUP(MAX(I9/26,I10/58),0)</f>
        <v>1</v>
      </c>
      <c r="I19" s="2">
        <f t="shared" si="1"/>
        <v>0</v>
      </c>
      <c r="J19" s="48"/>
    </row>
    <row r="20" spans="5:10">
      <c r="E20" s="46"/>
      <c r="F20" s="2" t="s">
        <v>90</v>
      </c>
      <c r="G20" s="3"/>
      <c r="H20" s="2">
        <f>ROUNDUP(MAX(I9/26,I10/66),0)</f>
        <v>1</v>
      </c>
      <c r="I20" s="2">
        <f t="shared" si="1"/>
        <v>0</v>
      </c>
      <c r="J20" s="48"/>
    </row>
    <row r="21" spans="5:10">
      <c r="E21" s="46"/>
      <c r="F21" s="2" t="s">
        <v>85</v>
      </c>
      <c r="G21" s="5"/>
      <c r="H21" s="2"/>
      <c r="I21" s="47">
        <f>MAX(G21*I10,G22*I9)</f>
        <v>0</v>
      </c>
      <c r="J21" s="48"/>
    </row>
    <row r="22" spans="5:10">
      <c r="E22" s="46"/>
      <c r="F22" s="2" t="s">
        <v>86</v>
      </c>
      <c r="G22" s="3"/>
      <c r="H22" s="2"/>
      <c r="I22" s="47"/>
      <c r="J22" s="48"/>
    </row>
    <row r="23" spans="5:10">
      <c r="E23" s="7" t="s">
        <v>91</v>
      </c>
      <c r="F23" s="8">
        <f>MAX(I9*1000,I10*167)</f>
        <v>10.32</v>
      </c>
      <c r="G23" s="2" t="s">
        <v>92</v>
      </c>
      <c r="H23" s="49" t="s">
        <v>93</v>
      </c>
      <c r="I23" s="44"/>
      <c r="J23" s="2"/>
    </row>
    <row r="24" spans="5:10">
      <c r="E24" s="46" t="s">
        <v>94</v>
      </c>
      <c r="F24" s="2" t="s">
        <v>95</v>
      </c>
      <c r="G24" s="3">
        <v>700.9</v>
      </c>
      <c r="H24" s="44"/>
      <c r="I24" s="44"/>
      <c r="J24" s="6" t="s">
        <v>96</v>
      </c>
    </row>
    <row r="25" spans="5:10">
      <c r="E25" s="46"/>
      <c r="F25" s="2" t="s">
        <v>97</v>
      </c>
      <c r="G25" s="5">
        <v>53.6</v>
      </c>
      <c r="H25" s="44"/>
      <c r="I25" s="44"/>
      <c r="J25" s="9">
        <f>MAX(G24,G25*F23)</f>
        <v>700.9</v>
      </c>
    </row>
    <row r="26" spans="5:10">
      <c r="E26" s="46"/>
      <c r="F26" s="2" t="s">
        <v>98</v>
      </c>
      <c r="G26" s="3">
        <v>50.9</v>
      </c>
      <c r="H26" s="44"/>
      <c r="I26" s="44"/>
      <c r="J26" s="10">
        <f>MAX(G24,G26*F23)</f>
        <v>700.9</v>
      </c>
    </row>
    <row r="27" spans="5:10">
      <c r="E27" s="46"/>
      <c r="F27" s="2" t="s">
        <v>99</v>
      </c>
      <c r="G27" s="5">
        <v>46.9</v>
      </c>
      <c r="H27" s="44"/>
      <c r="I27" s="44"/>
      <c r="J27" s="9">
        <f>MAX(G24,G27*F23)</f>
        <v>700.9</v>
      </c>
    </row>
    <row r="28" spans="5:10">
      <c r="E28" s="46"/>
      <c r="F28" s="2" t="s">
        <v>100</v>
      </c>
      <c r="G28" s="3">
        <v>45</v>
      </c>
      <c r="H28" s="44"/>
      <c r="I28" s="44"/>
      <c r="J28" s="10">
        <f>MAX(G24,G28*F23)</f>
        <v>700.9</v>
      </c>
    </row>
  </sheetData>
  <sheetProtection algorithmName="SHA-512" hashValue="QYDG8OkhaNTN8b5AyIr7LnlocKgu04TEi3DlllTTyRmLjCGvTNcJLFHoBfV1fjM1xv6vqDZi3iHplqiN+ZjaQw==" saltValue="QTfqch9irnEoay3P2fmu/A==" spinCount="100000" sheet="1" objects="1" scenarios="1"/>
  <protectedRanges>
    <protectedRange sqref="G8 G9 G10 G12 G13 G14 G15 G16 G18:G22 G24:G28" name="区域1" securityDescriptor=""/>
  </protectedRanges>
  <mergeCells count="11">
    <mergeCell ref="E4:J6"/>
    <mergeCell ref="E7:G7"/>
    <mergeCell ref="H7:J7"/>
    <mergeCell ref="E12:E16"/>
    <mergeCell ref="E18:E22"/>
    <mergeCell ref="E24:E28"/>
    <mergeCell ref="I15:I16"/>
    <mergeCell ref="I21:I22"/>
    <mergeCell ref="J12:J16"/>
    <mergeCell ref="J18:J22"/>
    <mergeCell ref="H23:I28"/>
  </mergeCells>
  <phoneticPr fontId="9" type="noConversion"/>
  <pageMargins left="0.69930555555555596" right="0.69930555555555596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8"/>
  <sheetViews>
    <sheetView workbookViewId="0">
      <selection activeCell="D7" sqref="D7:D8"/>
    </sheetView>
  </sheetViews>
  <sheetFormatPr defaultColWidth="9" defaultRowHeight="13.5"/>
  <cols>
    <col min="3" max="14" width="16.625" customWidth="1"/>
  </cols>
  <sheetData>
    <row r="3" spans="3:7">
      <c r="C3" s="59" t="s">
        <v>101</v>
      </c>
      <c r="D3" s="59" t="s">
        <v>102</v>
      </c>
      <c r="E3" s="63" t="s">
        <v>25</v>
      </c>
      <c r="F3" s="63" t="s">
        <v>46</v>
      </c>
      <c r="G3" s="63" t="s">
        <v>103</v>
      </c>
    </row>
    <row r="4" spans="3:7">
      <c r="C4" s="60"/>
      <c r="D4" s="60"/>
      <c r="E4" s="63"/>
      <c r="F4" s="63"/>
      <c r="G4" s="63"/>
    </row>
    <row r="5" spans="3:7">
      <c r="C5" s="61" t="s">
        <v>104</v>
      </c>
      <c r="D5" s="61">
        <v>1.0345</v>
      </c>
      <c r="E5" s="64">
        <v>14</v>
      </c>
      <c r="F5" s="64">
        <v>49</v>
      </c>
      <c r="G5" s="64">
        <v>7</v>
      </c>
    </row>
    <row r="6" spans="3:7">
      <c r="C6" s="61"/>
      <c r="D6" s="61"/>
      <c r="E6" s="64"/>
      <c r="F6" s="64"/>
      <c r="G6" s="64"/>
    </row>
    <row r="7" spans="3:7">
      <c r="C7" s="62" t="s">
        <v>105</v>
      </c>
      <c r="D7" s="62">
        <v>0.52429999999999999</v>
      </c>
      <c r="E7" s="65">
        <v>27</v>
      </c>
      <c r="F7" s="65">
        <v>82</v>
      </c>
      <c r="G7" s="65">
        <v>11</v>
      </c>
    </row>
    <row r="8" spans="3:7">
      <c r="C8" s="62"/>
      <c r="D8" s="62"/>
      <c r="E8" s="65"/>
      <c r="F8" s="65"/>
      <c r="G8" s="65"/>
    </row>
    <row r="9" spans="3:7">
      <c r="C9" s="61" t="s">
        <v>106</v>
      </c>
      <c r="D9" s="61">
        <v>1</v>
      </c>
      <c r="E9" s="64">
        <v>14</v>
      </c>
      <c r="F9" s="64">
        <v>43</v>
      </c>
      <c r="G9" s="64">
        <v>7</v>
      </c>
    </row>
    <row r="10" spans="3:7">
      <c r="C10" s="61"/>
      <c r="D10" s="61"/>
      <c r="E10" s="64"/>
      <c r="F10" s="64"/>
      <c r="G10" s="64"/>
    </row>
    <row r="11" spans="3:7">
      <c r="C11" s="62" t="s">
        <v>107</v>
      </c>
      <c r="D11" s="62">
        <v>1.3222</v>
      </c>
      <c r="E11" s="65">
        <v>9</v>
      </c>
      <c r="F11" s="65">
        <v>29</v>
      </c>
      <c r="G11" s="65">
        <v>3</v>
      </c>
    </row>
    <row r="12" spans="3:7">
      <c r="C12" s="62"/>
      <c r="D12" s="62"/>
      <c r="E12" s="65"/>
      <c r="F12" s="65"/>
      <c r="G12" s="65"/>
    </row>
    <row r="13" spans="3:7">
      <c r="C13" s="61" t="s">
        <v>108</v>
      </c>
      <c r="D13" s="61">
        <v>1.6221000000000001</v>
      </c>
      <c r="E13" s="66">
        <v>6</v>
      </c>
      <c r="F13" s="64">
        <v>19</v>
      </c>
      <c r="G13" s="64">
        <v>2</v>
      </c>
    </row>
    <row r="14" spans="3:7">
      <c r="C14" s="61"/>
      <c r="D14" s="61"/>
      <c r="E14" s="66"/>
      <c r="F14" s="64"/>
      <c r="G14" s="64"/>
    </row>
    <row r="15" spans="3:7">
      <c r="C15" s="62" t="s">
        <v>109</v>
      </c>
      <c r="D15" s="62">
        <v>1.2500000000000001E-2</v>
      </c>
      <c r="E15" s="65">
        <v>1550</v>
      </c>
      <c r="F15" s="65">
        <v>4640</v>
      </c>
      <c r="G15" s="65">
        <v>678</v>
      </c>
    </row>
    <row r="16" spans="3:7">
      <c r="C16" s="62"/>
      <c r="D16" s="62"/>
      <c r="E16" s="65"/>
      <c r="F16" s="65"/>
      <c r="G16" s="65"/>
    </row>
    <row r="17" spans="3:14">
      <c r="C17" s="61" t="s">
        <v>110</v>
      </c>
      <c r="D17" s="61">
        <v>0.15540000000000001</v>
      </c>
      <c r="E17" s="64">
        <v>100</v>
      </c>
      <c r="F17" s="64">
        <v>300</v>
      </c>
      <c r="G17" s="64">
        <v>44</v>
      </c>
    </row>
    <row r="18" spans="3:14">
      <c r="C18" s="61"/>
      <c r="D18" s="61"/>
      <c r="E18" s="64"/>
      <c r="F18" s="64"/>
      <c r="G18" s="64"/>
    </row>
    <row r="19" spans="3:14">
      <c r="C19" s="62" t="s">
        <v>111</v>
      </c>
      <c r="D19" s="62">
        <v>3.4099999999999998E-2</v>
      </c>
      <c r="E19" s="65">
        <v>340</v>
      </c>
      <c r="F19" s="65">
        <v>1030</v>
      </c>
      <c r="G19" s="65">
        <v>145</v>
      </c>
    </row>
    <row r="20" spans="3:14">
      <c r="C20" s="62"/>
      <c r="D20" s="62"/>
      <c r="E20" s="65"/>
      <c r="F20" s="65"/>
      <c r="G20" s="65"/>
    </row>
    <row r="21" spans="3:14">
      <c r="C21" s="61" t="s">
        <v>112</v>
      </c>
      <c r="D21" s="61">
        <v>1</v>
      </c>
      <c r="E21" s="64">
        <v>12</v>
      </c>
      <c r="F21" s="64">
        <v>38</v>
      </c>
      <c r="G21" s="64">
        <v>4</v>
      </c>
    </row>
    <row r="22" spans="3:14">
      <c r="C22" s="61"/>
      <c r="D22" s="61"/>
      <c r="E22" s="64"/>
      <c r="F22" s="64"/>
      <c r="G22" s="64"/>
    </row>
    <row r="23" spans="3:14">
      <c r="C23" s="62" t="s">
        <v>113</v>
      </c>
      <c r="D23" s="62">
        <v>0.12939999999999999</v>
      </c>
      <c r="E23" s="67">
        <v>92</v>
      </c>
      <c r="F23" s="65">
        <v>180</v>
      </c>
      <c r="G23" s="65">
        <v>40</v>
      </c>
    </row>
    <row r="24" spans="3:14">
      <c r="C24" s="62"/>
      <c r="D24" s="62"/>
      <c r="E24" s="67"/>
      <c r="F24" s="65"/>
      <c r="G24" s="65"/>
    </row>
    <row r="26" spans="3:14" ht="20.100000000000001" customHeight="1"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119</v>
      </c>
      <c r="I26" s="1" t="s">
        <v>120</v>
      </c>
      <c r="J26" s="1" t="s">
        <v>121</v>
      </c>
      <c r="K26" s="1" t="s">
        <v>27</v>
      </c>
      <c r="L26" s="1" t="s">
        <v>42</v>
      </c>
      <c r="M26" s="1" t="s">
        <v>39</v>
      </c>
      <c r="N26" s="1" t="s">
        <v>122</v>
      </c>
    </row>
    <row r="27" spans="3:14" ht="20.100000000000001" customHeight="1"/>
    <row r="28" spans="3:14" ht="20.100000000000001" customHeight="1"/>
    <row r="29" spans="3:14" ht="20.100000000000001" customHeight="1"/>
    <row r="30" spans="3:14" ht="20.100000000000001" customHeight="1"/>
    <row r="31" spans="3:14" ht="20.100000000000001" customHeight="1"/>
    <row r="32" spans="3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</sheetData>
  <mergeCells count="55">
    <mergeCell ref="G23:G24"/>
    <mergeCell ref="G13:G14"/>
    <mergeCell ref="G15:G16"/>
    <mergeCell ref="G17:G18"/>
    <mergeCell ref="G19:G20"/>
    <mergeCell ref="G21:G22"/>
    <mergeCell ref="G3:G4"/>
    <mergeCell ref="G5:G6"/>
    <mergeCell ref="G7:G8"/>
    <mergeCell ref="G9:G10"/>
    <mergeCell ref="G11:G12"/>
    <mergeCell ref="E23:E2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E13:E14"/>
    <mergeCell ref="E15:E16"/>
    <mergeCell ref="E17:E18"/>
    <mergeCell ref="E19:E20"/>
    <mergeCell ref="E21:E22"/>
    <mergeCell ref="E3:E4"/>
    <mergeCell ref="E5:E6"/>
    <mergeCell ref="E7:E8"/>
    <mergeCell ref="E9:E10"/>
    <mergeCell ref="E11:E12"/>
    <mergeCell ref="C23:C2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C13:C14"/>
    <mergeCell ref="C15:C16"/>
    <mergeCell ref="C17:C18"/>
    <mergeCell ref="C19:C20"/>
    <mergeCell ref="C21:C22"/>
    <mergeCell ref="C3:C4"/>
    <mergeCell ref="C5:C6"/>
    <mergeCell ref="C7:C8"/>
    <mergeCell ref="C9:C10"/>
    <mergeCell ref="C11:C12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FOB方式</vt:lpstr>
      <vt:lpstr>CPT方式</vt:lpstr>
      <vt:lpstr>CIF方式</vt:lpstr>
      <vt:lpstr>运费表</vt:lpstr>
      <vt:lpstr>常用数据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yueling feng</dc:creator>
  <cp:lastModifiedBy>Administrator</cp:lastModifiedBy>
  <dcterms:created xsi:type="dcterms:W3CDTF">2017-04-07T17:31:00Z</dcterms:created>
  <dcterms:modified xsi:type="dcterms:W3CDTF">2018-05-07T03:14:06Z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